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come Tax\Tax Audit\Tax Audit AY 2023-24\Talma ki Wadi\final\"/>
    </mc:Choice>
  </mc:AlternateContent>
  <xr:revisionPtr revIDLastSave="0" documentId="13_ncr:1_{0644A215-F6BB-48B5-B143-AE6C7DF142E6}" xr6:coauthVersionLast="47" xr6:coauthVersionMax="47" xr10:uidLastSave="{00000000-0000-0000-0000-000000000000}"/>
  <bookViews>
    <workbookView xWindow="-108" yWindow="-108" windowWidth="23256" windowHeight="12456" tabRatio="912" firstSheet="1" activeTab="1" xr2:uid="{00000000-000D-0000-FFFF-FFFF00000000}"/>
  </bookViews>
  <sheets>
    <sheet name="Audit Findings" sheetId="19" state="hidden" r:id="rId1"/>
    <sheet name="I&amp;E" sheetId="2" r:id="rId2"/>
    <sheet name="BS" sheetId="1" r:id="rId3"/>
    <sheet name="Trial Balance" sheetId="13" r:id="rId4"/>
    <sheet name="Member's OS" sheetId="12" r:id="rId5"/>
    <sheet name="Depreciation" sheetId="5" r:id="rId6"/>
    <sheet name="Income" sheetId="14" r:id="rId7"/>
    <sheet name="Expenditure" sheetId="16" r:id="rId8"/>
    <sheet name="Repairs &amp; maintenance" sheetId="17" r:id="rId9"/>
    <sheet name="Depr.." sheetId="6" state="hidden" r:id="rId10"/>
    <sheet name="FD Int." sheetId="7" state="hidden" r:id="rId11"/>
    <sheet name="Salaries" sheetId="11" r:id="rId12"/>
    <sheet name="Alteration Deposit" sheetId="21" r:id="rId13"/>
    <sheet name="Other Schedules" sheetId="27" r:id="rId14"/>
    <sheet name="Stru Repairs Summary" sheetId="22" state="hidden" r:id="rId15"/>
    <sheet name="2013 AGM" sheetId="26" state="hidden" r:id="rId16"/>
    <sheet name="KSA" sheetId="23" state="hidden" r:id="rId17"/>
    <sheet name="Pending Work" sheetId="20" state="hidden" r:id="rId18"/>
  </sheets>
  <definedNames>
    <definedName name="_xlnm.Print_Area" localSheetId="12">'Alteration Deposit'!$A$1:$E$43</definedName>
    <definedName name="_xlnm.Print_Area" localSheetId="2">BS!$A$1:$H$141</definedName>
    <definedName name="_xlnm.Print_Area" localSheetId="5">Depreciation!$A$1:$E$155</definedName>
    <definedName name="_xlnm.Print_Area" localSheetId="7">Expenditure!$A$1:$E$72</definedName>
    <definedName name="_xlnm.Print_Area" localSheetId="10">'FD Int.'!$A$1:$R$73</definedName>
    <definedName name="_xlnm.Print_Area" localSheetId="1">'I&amp;E'!$A$1:$H$86</definedName>
    <definedName name="_xlnm.Print_Area" localSheetId="6">Income!$A$1:$E$41</definedName>
    <definedName name="_xlnm.Print_Area" localSheetId="4">'Member''s OS'!$A$7:$C$115</definedName>
    <definedName name="_xlnm.Print_Area" localSheetId="8">'Repairs &amp; maintenance'!$A$1:$C$19</definedName>
    <definedName name="_xlnm.Print_Area" localSheetId="11">Salaries!$A$1:$H$18</definedName>
    <definedName name="_xlnm.Print_Area" localSheetId="14">'Stru Repairs Summary'!$A$1:$F$53</definedName>
    <definedName name="_xlnm.Print_Area" localSheetId="3">'Trial Balance'!$A$9:$E$80</definedName>
    <definedName name="_xlnm.Print_Titles" localSheetId="2">BS!$1:$4</definedName>
    <definedName name="_xlnm.Print_Titles" localSheetId="5">Depreciation!$1:$3</definedName>
    <definedName name="_xlnm.Print_Titles" localSheetId="1">'I&amp;E'!$1:$4</definedName>
    <definedName name="_xlnm.Print_Titles" localSheetId="4">'Member''s OS'!$1:$6</definedName>
    <definedName name="_xlnm.Print_Titles" localSheetId="11">Salaries!$1:$1</definedName>
    <definedName name="_xlnm.Print_Titles" localSheetId="3">'Trial Balance'!$1:$8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H119" i="1"/>
  <c r="A48" i="1"/>
  <c r="D43" i="1"/>
  <c r="D92" i="1" l="1"/>
  <c r="C107" i="1"/>
  <c r="D118" i="1" s="1"/>
  <c r="M8" i="5"/>
  <c r="J8" i="5"/>
  <c r="J7" i="5"/>
  <c r="J9" i="5" s="1"/>
  <c r="K6" i="5"/>
  <c r="M6" i="5" s="1"/>
  <c r="L8" i="5"/>
  <c r="L6" i="5"/>
  <c r="K8" i="5"/>
  <c r="G73" i="1"/>
  <c r="G72" i="1"/>
  <c r="G67" i="1"/>
  <c r="G68" i="1"/>
  <c r="G63" i="1"/>
  <c r="G62" i="1"/>
  <c r="G58" i="1"/>
  <c r="G57" i="1"/>
  <c r="I7" i="5" s="1"/>
  <c r="G45" i="1"/>
  <c r="G44" i="1"/>
  <c r="I43" i="1" l="1"/>
  <c r="L7" i="5"/>
  <c r="I9" i="5"/>
  <c r="N8" i="5"/>
  <c r="N6" i="5"/>
  <c r="K7" i="5"/>
  <c r="M7" i="5" s="1"/>
  <c r="M9" i="5" s="1"/>
  <c r="K9" i="5" l="1"/>
  <c r="L9" i="5"/>
  <c r="N7" i="5"/>
  <c r="N9" i="5" s="1"/>
  <c r="G29" i="1"/>
  <c r="G21" i="2"/>
  <c r="E21" i="2"/>
  <c r="E37" i="2"/>
  <c r="H37" i="2"/>
  <c r="B26" i="16" l="1"/>
  <c r="C26" i="16"/>
  <c r="D20" i="2" l="1"/>
  <c r="C27" i="16" s="1"/>
  <c r="D64" i="1" l="1"/>
  <c r="D42" i="2"/>
  <c r="G40" i="2"/>
  <c r="D58" i="16"/>
  <c r="E58" i="16" s="1"/>
  <c r="D65" i="16"/>
  <c r="E65" i="16" s="1"/>
  <c r="C72" i="16"/>
  <c r="D56" i="16"/>
  <c r="E56" i="16" s="1"/>
  <c r="D53" i="16"/>
  <c r="E53" i="16" s="1"/>
  <c r="D45" i="16"/>
  <c r="E45" i="16" s="1"/>
  <c r="D71" i="16"/>
  <c r="E71" i="16" s="1"/>
  <c r="D20" i="16"/>
  <c r="E20" i="16" s="1"/>
  <c r="D17" i="16"/>
  <c r="E17" i="16" s="1"/>
  <c r="D23" i="16"/>
  <c r="E23" i="16" s="1"/>
  <c r="B72" i="16"/>
  <c r="B47" i="14"/>
  <c r="D46" i="14"/>
  <c r="E46" i="14" s="1"/>
  <c r="D45" i="14"/>
  <c r="E45" i="14" s="1"/>
  <c r="D44" i="14"/>
  <c r="E44" i="14" s="1"/>
  <c r="D43" i="14"/>
  <c r="E43" i="14" s="1"/>
  <c r="D41" i="14"/>
  <c r="E41" i="14" s="1"/>
  <c r="D40" i="14"/>
  <c r="E40" i="14" s="1"/>
  <c r="D39" i="14"/>
  <c r="D34" i="14"/>
  <c r="C47" i="14"/>
  <c r="D72" i="16" l="1"/>
  <c r="E72" i="16" s="1"/>
  <c r="B125" i="5"/>
  <c r="B124" i="5"/>
  <c r="E124" i="5" s="1"/>
  <c r="C118" i="5"/>
  <c r="C125" i="5" s="1"/>
  <c r="E104" i="5"/>
  <c r="B94" i="5"/>
  <c r="B93" i="5"/>
  <c r="E93" i="5" s="1"/>
  <c r="E71" i="5"/>
  <c r="C70" i="5"/>
  <c r="C78" i="5" s="1"/>
  <c r="C69" i="5"/>
  <c r="C77" i="5" s="1"/>
  <c r="B78" i="5"/>
  <c r="B77" i="5"/>
  <c r="B76" i="5"/>
  <c r="E76" i="5" s="1"/>
  <c r="B60" i="5"/>
  <c r="B59" i="5"/>
  <c r="B58" i="5"/>
  <c r="E53" i="5"/>
  <c r="C52" i="5"/>
  <c r="C60" i="5" s="1"/>
  <c r="E125" i="5" l="1"/>
  <c r="E126" i="5" s="1"/>
  <c r="E77" i="5"/>
  <c r="E78" i="5"/>
  <c r="H96" i="1"/>
  <c r="D34" i="1"/>
  <c r="D28" i="1"/>
  <c r="D38" i="1"/>
  <c r="E79" i="5" l="1"/>
  <c r="H23" i="1"/>
  <c r="H18" i="1"/>
  <c r="A42" i="2"/>
  <c r="E163" i="5" l="1"/>
  <c r="E168" i="5" s="1"/>
  <c r="C51" i="5"/>
  <c r="C59" i="5" s="1"/>
  <c r="E59" i="5" s="1"/>
  <c r="E60" i="5" l="1"/>
  <c r="E165" i="5"/>
  <c r="G86" i="1" s="1"/>
  <c r="G85" i="1"/>
  <c r="H86" i="1" l="1"/>
  <c r="E166" i="5"/>
  <c r="E48" i="1" l="1"/>
  <c r="G36" i="1" l="1"/>
  <c r="H29" i="1"/>
  <c r="H12" i="1"/>
  <c r="H16" i="11"/>
  <c r="H15" i="11"/>
  <c r="H14" i="11"/>
  <c r="H13" i="11"/>
  <c r="H12" i="11"/>
  <c r="H11" i="11"/>
  <c r="H10" i="11"/>
  <c r="H9" i="11"/>
  <c r="H8" i="11"/>
  <c r="H7" i="11"/>
  <c r="H6" i="11"/>
  <c r="H5" i="11"/>
  <c r="D70" i="16"/>
  <c r="D69" i="16"/>
  <c r="E69" i="16" s="1"/>
  <c r="D68" i="16"/>
  <c r="E68" i="16" s="1"/>
  <c r="D67" i="16"/>
  <c r="D66" i="16"/>
  <c r="E66" i="16" s="1"/>
  <c r="D64" i="16"/>
  <c r="E64" i="16" s="1"/>
  <c r="D63" i="16"/>
  <c r="E63" i="16" s="1"/>
  <c r="D62" i="16"/>
  <c r="E62" i="16" s="1"/>
  <c r="D61" i="16"/>
  <c r="E61" i="16" s="1"/>
  <c r="D60" i="16"/>
  <c r="E60" i="16" s="1"/>
  <c r="D59" i="16"/>
  <c r="E59" i="16" s="1"/>
  <c r="D57" i="16"/>
  <c r="E57" i="16" s="1"/>
  <c r="D55" i="16"/>
  <c r="E55" i="16" s="1"/>
  <c r="D54" i="16"/>
  <c r="E54" i="16" s="1"/>
  <c r="D52" i="16"/>
  <c r="E52" i="16" s="1"/>
  <c r="D51" i="16"/>
  <c r="E51" i="16" s="1"/>
  <c r="D50" i="16"/>
  <c r="E50" i="16" s="1"/>
  <c r="D49" i="16"/>
  <c r="D48" i="16"/>
  <c r="E48" i="16" s="1"/>
  <c r="D47" i="16"/>
  <c r="E47" i="16" s="1"/>
  <c r="D46" i="16"/>
  <c r="E46" i="16" s="1"/>
  <c r="D44" i="16"/>
  <c r="E44" i="16" s="1"/>
  <c r="D43" i="16"/>
  <c r="E43" i="16" s="1"/>
  <c r="D42" i="16"/>
  <c r="D41" i="16"/>
  <c r="E41" i="16" s="1"/>
  <c r="D40" i="16"/>
  <c r="E40" i="16" s="1"/>
  <c r="D39" i="16"/>
  <c r="E39" i="16" s="1"/>
  <c r="D38" i="16"/>
  <c r="E38" i="16" s="1"/>
  <c r="D37" i="16"/>
  <c r="E37" i="16" s="1"/>
  <c r="D36" i="16"/>
  <c r="E36" i="16" s="1"/>
  <c r="D35" i="16"/>
  <c r="E35" i="16" s="1"/>
  <c r="D34" i="16"/>
  <c r="E34" i="16" s="1"/>
  <c r="D33" i="16"/>
  <c r="E33" i="16" s="1"/>
  <c r="D32" i="16"/>
  <c r="E32" i="16" s="1"/>
  <c r="D31" i="16"/>
  <c r="E31" i="16" s="1"/>
  <c r="D30" i="16"/>
  <c r="E30" i="16" s="1"/>
  <c r="D29" i="16"/>
  <c r="D26" i="16"/>
  <c r="E26" i="16" s="1"/>
  <c r="D24" i="16"/>
  <c r="E24" i="16" s="1"/>
  <c r="D21" i="16"/>
  <c r="E21" i="16" s="1"/>
  <c r="D18" i="16"/>
  <c r="E18" i="16" s="1"/>
  <c r="D16" i="16"/>
  <c r="E16" i="16" s="1"/>
  <c r="D15" i="16"/>
  <c r="E15" i="16" s="1"/>
  <c r="D14" i="16"/>
  <c r="E14" i="16" s="1"/>
  <c r="D13" i="16"/>
  <c r="E13" i="16" s="1"/>
  <c r="D12" i="16"/>
  <c r="E39" i="14"/>
  <c r="D38" i="14"/>
  <c r="E38" i="14" s="1"/>
  <c r="D37" i="14"/>
  <c r="E37" i="14" s="1"/>
  <c r="D36" i="14"/>
  <c r="E36" i="14" s="1"/>
  <c r="D35" i="14"/>
  <c r="D33" i="14"/>
  <c r="E33" i="14" s="1"/>
  <c r="D32" i="14"/>
  <c r="D31" i="14"/>
  <c r="E31" i="14" s="1"/>
  <c r="D30" i="14"/>
  <c r="E30" i="14" s="1"/>
  <c r="D29" i="14"/>
  <c r="E29" i="14" s="1"/>
  <c r="D28" i="14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6" i="14"/>
  <c r="E16" i="14" s="1"/>
  <c r="D15" i="14"/>
  <c r="E15" i="14" s="1"/>
  <c r="D13" i="14"/>
  <c r="E13" i="14" s="1"/>
  <c r="D12" i="14"/>
  <c r="E12" i="14" s="1"/>
  <c r="D11" i="14"/>
  <c r="D47" i="14" l="1"/>
  <c r="E149" i="5"/>
  <c r="C103" i="5"/>
  <c r="C110" i="5" s="1"/>
  <c r="B110" i="5"/>
  <c r="B109" i="5"/>
  <c r="E109" i="5" s="1"/>
  <c r="E58" i="5"/>
  <c r="E38" i="5"/>
  <c r="E43" i="5" s="1"/>
  <c r="E40" i="5" s="1"/>
  <c r="E110" i="5" l="1"/>
  <c r="G40" i="1"/>
  <c r="E154" i="5"/>
  <c r="E151" i="5" s="1"/>
  <c r="G81" i="1"/>
  <c r="E111" i="5"/>
  <c r="E61" i="5"/>
  <c r="E55" i="5" s="1"/>
  <c r="G46" i="1" s="1"/>
  <c r="H46" i="1" s="1"/>
  <c r="E152" i="5" l="1"/>
  <c r="G82" i="1"/>
  <c r="H82" i="1" s="1"/>
  <c r="C42" i="2" l="1"/>
  <c r="E135" i="5"/>
  <c r="E88" i="5"/>
  <c r="C87" i="5"/>
  <c r="C94" i="5" s="1"/>
  <c r="G77" i="1" l="1"/>
  <c r="E140" i="5"/>
  <c r="E137" i="5" l="1"/>
  <c r="D81" i="1"/>
  <c r="E138" i="5" l="1"/>
  <c r="G78" i="1"/>
  <c r="H78" i="1" s="1"/>
  <c r="E94" i="5"/>
  <c r="E95" i="5" l="1"/>
  <c r="G18" i="11" l="1"/>
  <c r="H25" i="2" l="1"/>
  <c r="H40" i="2"/>
  <c r="E18" i="11" l="1"/>
  <c r="B19" i="17"/>
  <c r="C19" i="17"/>
  <c r="E119" i="5" l="1"/>
  <c r="E106" i="5" l="1"/>
  <c r="E85" i="2"/>
  <c r="G69" i="1" l="1"/>
  <c r="H69" i="1" s="1"/>
  <c r="E121" i="5"/>
  <c r="G74" i="1" s="1"/>
  <c r="H74" i="1" s="1"/>
  <c r="E107" i="5"/>
  <c r="I7" i="26" l="1"/>
  <c r="I8" i="26" s="1"/>
  <c r="I10" i="26" s="1"/>
  <c r="C13" i="26"/>
  <c r="C9" i="26"/>
  <c r="C7" i="26"/>
  <c r="C5" i="26"/>
  <c r="E5" i="26" s="1"/>
  <c r="B15" i="26"/>
  <c r="C15" i="26" l="1"/>
  <c r="K13" i="23" l="1"/>
  <c r="K7" i="23"/>
  <c r="K5" i="23"/>
  <c r="C9" i="23"/>
  <c r="C11" i="23" s="1"/>
  <c r="E9" i="23"/>
  <c r="E11" i="23" s="1"/>
  <c r="G9" i="23"/>
  <c r="G11" i="23" s="1"/>
  <c r="I9" i="23"/>
  <c r="I11" i="23" s="1"/>
  <c r="K11" i="23" l="1"/>
  <c r="K9" i="23"/>
  <c r="E34" i="22"/>
  <c r="C34" i="22"/>
  <c r="E19" i="22"/>
  <c r="C16" i="22"/>
  <c r="E14" i="22"/>
  <c r="F14" i="22" s="1"/>
  <c r="C10" i="22"/>
  <c r="C18" i="22"/>
  <c r="E10" i="22"/>
  <c r="G12" i="22" s="1"/>
  <c r="C17" i="22" l="1"/>
  <c r="C19" i="22" s="1"/>
  <c r="E46" i="22"/>
  <c r="E50" i="22" s="1"/>
  <c r="C46" i="22"/>
  <c r="E36" i="22"/>
  <c r="I37" i="22" s="1"/>
  <c r="E48" i="22" l="1"/>
  <c r="I38" i="22" s="1"/>
  <c r="I40" i="22" s="1"/>
  <c r="C50" i="22"/>
  <c r="E52" i="22" s="1"/>
  <c r="E55" i="22" s="1"/>
  <c r="C54" i="22" l="1"/>
  <c r="F18" i="11"/>
  <c r="H19" i="20" l="1"/>
  <c r="D67" i="1" l="1"/>
  <c r="H16" i="20" l="1"/>
  <c r="J16" i="20" s="1"/>
  <c r="H15" i="20"/>
  <c r="J15" i="20" s="1"/>
  <c r="D11" i="16" l="1"/>
  <c r="D18" i="11"/>
  <c r="C18" i="11"/>
  <c r="B18" i="11"/>
  <c r="H18" i="11" l="1"/>
  <c r="A101" i="5" l="1"/>
  <c r="A85" i="5"/>
  <c r="A67" i="5"/>
  <c r="A49" i="5"/>
  <c r="A35" i="5"/>
  <c r="A21" i="5"/>
  <c r="E56" i="5" l="1"/>
  <c r="E11" i="14" l="1"/>
  <c r="E47" i="14" s="1"/>
  <c r="E54" i="1" l="1"/>
  <c r="E97" i="1" l="1"/>
  <c r="E103" i="1" s="1"/>
  <c r="E125" i="1" s="1"/>
  <c r="A54" i="1"/>
  <c r="A97" i="1" s="1"/>
  <c r="A103" i="1" s="1"/>
  <c r="G21" i="7" l="1"/>
  <c r="F21" i="7"/>
  <c r="F23" i="7" s="1"/>
  <c r="P30" i="7" l="1"/>
  <c r="P31" i="7"/>
  <c r="P32" i="7"/>
  <c r="P33" i="7"/>
  <c r="P34" i="7"/>
  <c r="P35" i="7"/>
  <c r="P36" i="7"/>
  <c r="P37" i="7"/>
  <c r="P38" i="7"/>
  <c r="P39" i="7"/>
  <c r="P40" i="7"/>
  <c r="P41" i="7"/>
  <c r="P42" i="7"/>
  <c r="P25" i="7"/>
  <c r="P24" i="7"/>
  <c r="E24" i="5" l="1"/>
  <c r="E10" i="5"/>
  <c r="E15" i="5" l="1"/>
  <c r="G32" i="1"/>
  <c r="E29" i="5"/>
  <c r="E73" i="5"/>
  <c r="G59" i="1" s="1"/>
  <c r="H59" i="1" s="1"/>
  <c r="J21" i="1" l="1"/>
  <c r="I30" i="1"/>
  <c r="E26" i="5"/>
  <c r="G37" i="1" s="1"/>
  <c r="H37" i="1" s="1"/>
  <c r="E74" i="5"/>
  <c r="G41" i="1"/>
  <c r="H41" i="1" s="1"/>
  <c r="E90" i="5"/>
  <c r="E12" i="5"/>
  <c r="G64" i="1" l="1"/>
  <c r="H64" i="1" s="1"/>
  <c r="G33" i="1"/>
  <c r="E27" i="5"/>
  <c r="E13" i="5"/>
  <c r="E91" i="5"/>
  <c r="E41" i="5"/>
  <c r="D48" i="2"/>
  <c r="E42" i="2"/>
  <c r="P50" i="7"/>
  <c r="O72" i="7"/>
  <c r="N72" i="7"/>
  <c r="M72" i="7"/>
  <c r="L72" i="7"/>
  <c r="K72" i="7"/>
  <c r="J72" i="7"/>
  <c r="I72" i="7"/>
  <c r="H72" i="7"/>
  <c r="G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49" i="7"/>
  <c r="P48" i="7"/>
  <c r="P47" i="7"/>
  <c r="P46" i="7"/>
  <c r="P45" i="7"/>
  <c r="P44" i="7"/>
  <c r="P43" i="7"/>
  <c r="P26" i="7"/>
  <c r="R26" i="7" s="1"/>
  <c r="P27" i="7"/>
  <c r="P28" i="7"/>
  <c r="E72" i="7"/>
  <c r="D72" i="7"/>
  <c r="P81" i="7"/>
  <c r="G33" i="6"/>
  <c r="F72" i="7"/>
  <c r="C72" i="7"/>
  <c r="R73" i="7"/>
  <c r="Q72" i="7"/>
  <c r="G14" i="6"/>
  <c r="G32" i="6"/>
  <c r="G34" i="6" s="1"/>
  <c r="G68" i="6"/>
  <c r="G63" i="6"/>
  <c r="G65" i="6" s="1"/>
  <c r="G50" i="6"/>
  <c r="G45" i="6"/>
  <c r="G47" i="6" s="1"/>
  <c r="G27" i="6"/>
  <c r="G29" i="6" s="1"/>
  <c r="G9" i="6"/>
  <c r="G11" i="6" s="1"/>
  <c r="S73" i="7"/>
  <c r="H33" i="1" l="1"/>
  <c r="H48" i="1" s="1"/>
  <c r="H54" i="1" s="1"/>
  <c r="H97" i="1" s="1"/>
  <c r="I31" i="1"/>
  <c r="D13" i="1"/>
  <c r="H42" i="2"/>
  <c r="P72" i="7"/>
  <c r="R72" i="7" s="1"/>
  <c r="E48" i="2"/>
  <c r="A48" i="2"/>
  <c r="A63" i="2" l="1"/>
  <c r="A69" i="2" s="1"/>
  <c r="A67" i="2"/>
  <c r="H48" i="2"/>
  <c r="E67" i="2" l="1"/>
  <c r="E73" i="2" s="1"/>
  <c r="E71" i="2"/>
  <c r="A65" i="2"/>
  <c r="E65" i="2"/>
  <c r="A71" i="2" l="1"/>
  <c r="A123" i="1" s="1"/>
  <c r="A125" i="1" s="1"/>
  <c r="D61" i="2"/>
  <c r="D63" i="2" s="1"/>
  <c r="D68" i="2" s="1"/>
  <c r="C23" i="1" l="1"/>
  <c r="C19" i="1"/>
  <c r="D19" i="1" s="1"/>
  <c r="A73" i="2"/>
  <c r="H67" i="2"/>
  <c r="D67" i="2"/>
  <c r="H65" i="2"/>
  <c r="E122" i="5"/>
  <c r="H103" i="1"/>
  <c r="H125" i="1" s="1"/>
  <c r="H73" i="2" l="1"/>
  <c r="D73" i="2" s="1"/>
  <c r="C123" i="1" s="1"/>
  <c r="D65" i="2"/>
  <c r="D24" i="1"/>
  <c r="D48" i="1" s="1"/>
  <c r="D123" i="1" l="1"/>
  <c r="D54" i="1"/>
  <c r="D97" i="1" s="1"/>
  <c r="D103" i="1" s="1"/>
  <c r="D125" i="1" s="1"/>
  <c r="I148" i="1" l="1"/>
</calcChain>
</file>

<file path=xl/sharedStrings.xml><?xml version="1.0" encoding="utf-8"?>
<sst xmlns="http://schemas.openxmlformats.org/spreadsheetml/2006/main" count="1126" uniqueCount="769">
  <si>
    <t>AS AT 31ST</t>
  </si>
  <si>
    <t>LIABILITIES</t>
  </si>
  <si>
    <t>ASSETS</t>
  </si>
  <si>
    <t>SHARE CAPITAL</t>
  </si>
  <si>
    <t>CASH AND BANK BALANCES</t>
  </si>
  <si>
    <t>AUTHORISED CAPITAL</t>
  </si>
  <si>
    <t>PAID UP CAPITAL</t>
  </si>
  <si>
    <t>From Individual &amp; Institutions</t>
  </si>
  <si>
    <t>INVESTMENT</t>
  </si>
  <si>
    <t>From Co-Op. Housing Societies</t>
  </si>
  <si>
    <t>RESERVE FUND</t>
  </si>
  <si>
    <t>As per last Balance Sheet</t>
  </si>
  <si>
    <t>SINKING FUND</t>
  </si>
  <si>
    <t>FIXED ASSETS (AT COST)</t>
  </si>
  <si>
    <t>FURNITURE AND FITTINGS</t>
  </si>
  <si>
    <t>As per Last Balance Sheet</t>
  </si>
  <si>
    <t>Less:- Depreciation @ 25%</t>
  </si>
  <si>
    <t>SPECIAL REPAIRS FUND</t>
  </si>
  <si>
    <t>MAINTENANCE EQUIPMENT</t>
  </si>
  <si>
    <t>Less: Depreciation @ 25%</t>
  </si>
  <si>
    <t>ELECTRICAL FITTINGS</t>
  </si>
  <si>
    <t>Less: Depreciation @ 10%</t>
  </si>
  <si>
    <t>COMPUTER &amp; PRINTER</t>
  </si>
  <si>
    <t>Less: Depreciation @ 60%</t>
  </si>
  <si>
    <t>WATER TANK STORAGE (PVC)</t>
  </si>
  <si>
    <t>CURRENT ASSETS</t>
  </si>
  <si>
    <t>ALTERATION DEPOSIT</t>
  </si>
  <si>
    <t>Deposit with BEST</t>
  </si>
  <si>
    <t>Deposit with B.M.C.</t>
  </si>
  <si>
    <t>Deposit with Electric Motor</t>
  </si>
  <si>
    <t>Audit Fees</t>
  </si>
  <si>
    <t>Electricity Charges</t>
  </si>
  <si>
    <t>CHARTERED ACCOUNTANTS</t>
  </si>
  <si>
    <t>PLACE:- MUMBAI</t>
  </si>
  <si>
    <t xml:space="preserve">LAND &amp; BUILDING </t>
  </si>
  <si>
    <t>Balance as per last Balance Sheet</t>
  </si>
  <si>
    <t>Municipal Taxes</t>
  </si>
  <si>
    <t>Less: Depreciation @ 15%</t>
  </si>
  <si>
    <t>INCOME &amp; EXPENDITURE ACCOUNT</t>
  </si>
  <si>
    <t>PREVIOUS</t>
  </si>
  <si>
    <t>EXPENDITURE</t>
  </si>
  <si>
    <t>CURRENT</t>
  </si>
  <si>
    <t>INCOME</t>
  </si>
  <si>
    <t>YEAR</t>
  </si>
  <si>
    <t xml:space="preserve">  "   Security Services</t>
  </si>
  <si>
    <t xml:space="preserve">  "   Municipal Taxes</t>
  </si>
  <si>
    <t xml:space="preserve">  "   Water Tax</t>
  </si>
  <si>
    <t xml:space="preserve">  "   Electricity Charges</t>
  </si>
  <si>
    <t xml:space="preserve">  "   Land Revenue</t>
  </si>
  <si>
    <t xml:space="preserve">  "   Conveyance</t>
  </si>
  <si>
    <t xml:space="preserve">  "   Bank Charges</t>
  </si>
  <si>
    <t xml:space="preserve">  "   Printing &amp; Stationery</t>
  </si>
  <si>
    <t xml:space="preserve">  "   Audit Fees</t>
  </si>
  <si>
    <t xml:space="preserve">  "   Miscellaneous Expenses</t>
  </si>
  <si>
    <t xml:space="preserve">  "   Repairs &amp; Maintenance</t>
  </si>
  <si>
    <t xml:space="preserve">  "   Garden Development Expenses</t>
  </si>
  <si>
    <t xml:space="preserve">  "   Telephone Expenses</t>
  </si>
  <si>
    <t>Contd…</t>
  </si>
  <si>
    <t xml:space="preserve">     -- On Furniture &amp; Fixtures</t>
  </si>
  <si>
    <t xml:space="preserve">     -- On Maintenance Equipment</t>
  </si>
  <si>
    <t xml:space="preserve">     -- On Computer &amp; Printer</t>
  </si>
  <si>
    <t xml:space="preserve">     -- On Electrical Fittings</t>
  </si>
  <si>
    <t xml:space="preserve">     -- On Water Tanks  </t>
  </si>
  <si>
    <t>Add:- Contribution during the year</t>
  </si>
  <si>
    <t xml:space="preserve">  "   Maint. of Pumpset /Electrical Motor</t>
  </si>
  <si>
    <t>Deposit with Gaurang Gas Services</t>
  </si>
  <si>
    <t xml:space="preserve">CONTRIBUTION FROM MEMBERS </t>
  </si>
  <si>
    <t>TOWARDS LAND &amp; BUILDING</t>
  </si>
  <si>
    <t xml:space="preserve">SECURITY DEPOSIT FROM BALAK </t>
  </si>
  <si>
    <t>VRINDA EDUCATION SOCIETY</t>
  </si>
  <si>
    <t>BALANCE B/FD.</t>
  </si>
  <si>
    <t xml:space="preserve">TENANT DEPOSIT </t>
  </si>
  <si>
    <t>Balance as per last Balance sheet</t>
  </si>
  <si>
    <t>THE TALMAKIWADI CO-OPERATIVE HOUSING SOCIETY LIMITED</t>
  </si>
  <si>
    <t>As per last Balance sheet</t>
  </si>
  <si>
    <t xml:space="preserve">  "   Postage/Courier Charges</t>
  </si>
  <si>
    <t xml:space="preserve">  "   Pest Control Expenses</t>
  </si>
  <si>
    <t>ADMINISTRATION  FUND</t>
  </si>
  <si>
    <t>REPAIRS  FUND</t>
  </si>
  <si>
    <t>Prepaid Expenses - Pest Control</t>
  </si>
  <si>
    <t>Add: Contribution made during the year</t>
  </si>
  <si>
    <t>T O T A L</t>
  </si>
  <si>
    <t>Less:- Depreciation @ 10%</t>
  </si>
  <si>
    <t>Add:- Entrance Fees, Transfer Fees</t>
  </si>
  <si>
    <t>TOTAL</t>
  </si>
  <si>
    <t>Share of B.C.H.F.Ltd.</t>
  </si>
  <si>
    <t>Share of M.S. Co-Op.Bank Ltd</t>
  </si>
  <si>
    <t>Share of Saraswat CHS. Ltd.</t>
  </si>
  <si>
    <t>Cash On Hand</t>
  </si>
  <si>
    <t>CHAIRMAN               HON. SECRETARY                    TREASURER</t>
  </si>
  <si>
    <t>TALAMAKIWAID CO-OP.SOCIETY LIMITED</t>
  </si>
  <si>
    <t>Add: Purchase during the year</t>
  </si>
  <si>
    <t>Less: Sold during the year</t>
  </si>
  <si>
    <t>Total</t>
  </si>
  <si>
    <t xml:space="preserve">Depreciation @ 10%   on  </t>
  </si>
  <si>
    <t>days</t>
  </si>
  <si>
    <t>Electrical Fitting         Depreciation Rate 15%</t>
  </si>
  <si>
    <t>Computer &amp; Printer        Depreciation Rate 60%</t>
  </si>
  <si>
    <t>Water Tank Storage (PVC)        Depreciation Rate 10%</t>
  </si>
  <si>
    <t>CCTV Systems        Depreciation Rate 15%</t>
  </si>
  <si>
    <t xml:space="preserve">Depreciation @ 15%   on  </t>
  </si>
  <si>
    <t xml:space="preserve">Depreciation @ 60%   on  </t>
  </si>
  <si>
    <t>NO.</t>
  </si>
  <si>
    <t>FDR NO.</t>
  </si>
  <si>
    <t>PRINCIPAL</t>
  </si>
  <si>
    <t>AMOUNT</t>
  </si>
  <si>
    <t>Received</t>
  </si>
  <si>
    <t>Closing Balance</t>
  </si>
  <si>
    <t>Debit</t>
  </si>
  <si>
    <t>Credit</t>
  </si>
  <si>
    <t xml:space="preserve">  By  Balance B/f.</t>
  </si>
  <si>
    <t>CURRENT LIABILITIES AND PROVISIONS</t>
  </si>
  <si>
    <t>CCTV SYSTEMS</t>
  </si>
  <si>
    <t>Accrued</t>
  </si>
  <si>
    <t>Int.</t>
  </si>
  <si>
    <t xml:space="preserve">     -- On CCTV Systems </t>
  </si>
  <si>
    <t xml:space="preserve">  "   Professional Charges</t>
  </si>
  <si>
    <t>STATEMENT OF DEPRECIATION AS ON 31-03.2014</t>
  </si>
  <si>
    <t>TD/FDS/36626</t>
  </si>
  <si>
    <t>TD/FDS/36728</t>
  </si>
  <si>
    <t>TD/FDS/36746</t>
  </si>
  <si>
    <t>STATEMENT OF DEPRECIATION AS ON 31-03.2015</t>
  </si>
  <si>
    <t>Opening Blance as on 01.04.2014</t>
  </si>
  <si>
    <t>01.07.2014 TO</t>
  </si>
  <si>
    <t>30.09.2014</t>
  </si>
  <si>
    <t>01.10.2014 TO</t>
  </si>
  <si>
    <t>31.12.2014</t>
  </si>
  <si>
    <t>31.03.2015</t>
  </si>
  <si>
    <t>01.01.2015 TO</t>
  </si>
  <si>
    <t>SI/Q/FDL/78231</t>
  </si>
  <si>
    <t>SI/Q/FDL/79680</t>
  </si>
  <si>
    <t>SI/Q/FDL/81319</t>
  </si>
  <si>
    <t>SI/Q/FDL/81672</t>
  </si>
  <si>
    <t>SI/Q/FDL/82593</t>
  </si>
  <si>
    <t>SI/Q/FDL/85090</t>
  </si>
  <si>
    <t>SI/Q/FDL/88698</t>
  </si>
  <si>
    <t>SI/Q/FDL/88699</t>
  </si>
  <si>
    <t>SI/Q/FDL/88700</t>
  </si>
  <si>
    <t>TD/FDL/88706</t>
  </si>
  <si>
    <t>TD/FDL/89223</t>
  </si>
  <si>
    <t>TD/FDL/89224</t>
  </si>
  <si>
    <t>TD/FDL/89225</t>
  </si>
  <si>
    <t>TD/FDL/89226</t>
  </si>
  <si>
    <t>TD/FDL/89227</t>
  </si>
  <si>
    <t>TD/FDL/89228</t>
  </si>
  <si>
    <t>13.05.2014</t>
  </si>
  <si>
    <t>08.09.2014</t>
  </si>
  <si>
    <t>&amp; 23.09.2014</t>
  </si>
  <si>
    <t>SI/Q/FDL/95024</t>
  </si>
  <si>
    <t>09.10.2014</t>
  </si>
  <si>
    <t>15.11.2014</t>
  </si>
  <si>
    <t>&amp; 26.11.2014</t>
  </si>
  <si>
    <t>TD/FDL/37523</t>
  </si>
  <si>
    <t>09.12.2014</t>
  </si>
  <si>
    <t>&amp; 26.12.2014</t>
  </si>
  <si>
    <t>26.02.2015</t>
  </si>
  <si>
    <t>TD/FDL/37821</t>
  </si>
  <si>
    <t>TD/SVCC/67269</t>
  </si>
  <si>
    <t>TD/FDS/38209</t>
  </si>
  <si>
    <t>FDS/38209</t>
  </si>
  <si>
    <t>Add: addition during the year</t>
  </si>
  <si>
    <t>Less: Withdrawn during the year</t>
  </si>
  <si>
    <t>Computer &amp; Printer</t>
  </si>
  <si>
    <t>Electrical Fittings</t>
  </si>
  <si>
    <t>Garden Development Expenses</t>
  </si>
  <si>
    <t>Land Revenue Paid</t>
  </si>
  <si>
    <t>Maintenance Equipment</t>
  </si>
  <si>
    <t>Pest Control Expenses</t>
  </si>
  <si>
    <t>Professional Charges</t>
  </si>
  <si>
    <t>Repairs &amp; Maintenance</t>
  </si>
  <si>
    <t xml:space="preserve">  "   A.G.M Expenses</t>
  </si>
  <si>
    <t>FD WITH THE SVC BANK LTD</t>
  </si>
  <si>
    <t>Particulars</t>
  </si>
  <si>
    <t>To Balance c/d</t>
  </si>
  <si>
    <t>Furniture and Fixtures</t>
  </si>
  <si>
    <t>Amount-Rs.</t>
  </si>
  <si>
    <t>Depreciation for the year</t>
  </si>
  <si>
    <t>`</t>
  </si>
  <si>
    <t>Electric Motor Pump Set and Accessories</t>
  </si>
  <si>
    <t>Computer and Printer</t>
  </si>
  <si>
    <t>Water Tank (PVC)</t>
  </si>
  <si>
    <t>CCTV System</t>
  </si>
  <si>
    <t>STATEMENT OF INTEREST RECEIVED ON FDS AS ON 31 March 2017</t>
  </si>
  <si>
    <t>TD/FDS/39541</t>
  </si>
  <si>
    <t>TD/FDS/39540</t>
  </si>
  <si>
    <t>TD/FDS/39542</t>
  </si>
  <si>
    <t>SI/Q/FDL/105263</t>
  </si>
  <si>
    <t>TD/FDL/105264</t>
  </si>
  <si>
    <t>TD/FDL/105265</t>
  </si>
  <si>
    <t>TD/FDL/105266</t>
  </si>
  <si>
    <t>TD/FDL/105267</t>
  </si>
  <si>
    <t>TD/FDL/106643</t>
  </si>
  <si>
    <t>TD/FDL/105263</t>
  </si>
  <si>
    <t>TD/SVCC/72316</t>
  </si>
  <si>
    <t>TD/SVCC/72317</t>
  </si>
  <si>
    <t>TD/FDL/109879</t>
  </si>
  <si>
    <t>01.04.2016 TO</t>
  </si>
  <si>
    <t>Int certificate</t>
  </si>
  <si>
    <t>30.09.2016</t>
  </si>
  <si>
    <t xml:space="preserve">  </t>
  </si>
  <si>
    <t>closed</t>
  </si>
  <si>
    <t xml:space="preserve"> To  Contractual Employees</t>
  </si>
  <si>
    <t>Shelke</t>
  </si>
  <si>
    <t xml:space="preserve">Prepaid Insurance </t>
  </si>
  <si>
    <t>contd…</t>
  </si>
  <si>
    <t xml:space="preserve"> CHARTERED ACCOUNTANTS</t>
  </si>
  <si>
    <t xml:space="preserve"> PLACE:- MUMBAI</t>
  </si>
  <si>
    <t>Due from KSA</t>
  </si>
  <si>
    <t xml:space="preserve">  "   Repair Cess to MCGM</t>
  </si>
  <si>
    <t>To Balance trfd. To Balance Sheet</t>
  </si>
  <si>
    <t xml:space="preserve"> To  Depreciation:</t>
  </si>
  <si>
    <t xml:space="preserve">        - Members</t>
  </si>
  <si>
    <t xml:space="preserve">  "   Parking Charges</t>
  </si>
  <si>
    <t xml:space="preserve">  "    Miscellaneous Income</t>
  </si>
  <si>
    <t xml:space="preserve">  "    Interest on S.B. A/c.</t>
  </si>
  <si>
    <t xml:space="preserve">  "    Non-Occupancy Charges</t>
  </si>
  <si>
    <t xml:space="preserve">  "    Insurance Premium</t>
  </si>
  <si>
    <t xml:space="preserve">  "    MCGM Property Tax</t>
  </si>
  <si>
    <t xml:space="preserve">  "    MCGM  Repair Cess</t>
  </si>
  <si>
    <t xml:space="preserve">  "    Electricity Charges</t>
  </si>
  <si>
    <t xml:space="preserve">  "    Service Charges </t>
  </si>
  <si>
    <t xml:space="preserve">  "    Land Revenue</t>
  </si>
  <si>
    <t xml:space="preserve">  "    Submeter Charges</t>
  </si>
  <si>
    <t xml:space="preserve">  "    Upkeep Charges </t>
  </si>
  <si>
    <t xml:space="preserve">  "    CEW Charges</t>
  </si>
  <si>
    <t/>
  </si>
  <si>
    <t>1-A 16 BASRUR VIJAYA PRAKASH</t>
  </si>
  <si>
    <t>4 - 6 14 KUMBLE SANGEETA BHASKAR</t>
  </si>
  <si>
    <t>4 - 6 20 ANDAR DEEPA UDAY</t>
  </si>
  <si>
    <t>15 10 GANGOLLI LEENA VINOD</t>
  </si>
  <si>
    <t>15 19 NADKARNI SHEILA SURESH</t>
  </si>
  <si>
    <t>15 20 NADKARNI SHEILA SURESH</t>
  </si>
  <si>
    <t>15 21 CHINCHANKAR VAIBHAV RAMESH</t>
  </si>
  <si>
    <t>17 14 MASKERI ASHOK ANANT</t>
  </si>
  <si>
    <t>17 30 GANGOLLI VANITA VINOD</t>
  </si>
  <si>
    <t>Capital Account</t>
  </si>
  <si>
    <t>Reserves &amp; Surplus</t>
  </si>
  <si>
    <t>Share Capital</t>
  </si>
  <si>
    <t>Current Liabilities</t>
  </si>
  <si>
    <t>Provisions</t>
  </si>
  <si>
    <t>Sundry Creditors</t>
  </si>
  <si>
    <t>Retention- Contractors</t>
  </si>
  <si>
    <t>Fixed Assets</t>
  </si>
  <si>
    <t>Electric Motor Pump &amp; Accessories</t>
  </si>
  <si>
    <t>Furniture &amp; Fixures</t>
  </si>
  <si>
    <t>Maintenance Equipments</t>
  </si>
  <si>
    <t>Water Tank Storage (PVC)</t>
  </si>
  <si>
    <t>Investments</t>
  </si>
  <si>
    <t>Investment in Shares</t>
  </si>
  <si>
    <t>Current Assets</t>
  </si>
  <si>
    <t>Deposits (Asset)</t>
  </si>
  <si>
    <t>Loans &amp; Advances (Asset)</t>
  </si>
  <si>
    <t>Sundry Debtors</t>
  </si>
  <si>
    <t>Cash-in-hand</t>
  </si>
  <si>
    <t>Bank Accounts</t>
  </si>
  <si>
    <t>Other Current Assets</t>
  </si>
  <si>
    <t>Indirect Incomes</t>
  </si>
  <si>
    <t>Miscelleneous Income</t>
  </si>
  <si>
    <t>Savings Bank Interest</t>
  </si>
  <si>
    <t>Indirect Expenses</t>
  </si>
  <si>
    <t>Contractual Employees</t>
  </si>
  <si>
    <t>Electricity Charges Paid</t>
  </si>
  <si>
    <t>Postage &amp; Telegrams</t>
  </si>
  <si>
    <t>Printing &amp; Stationary</t>
  </si>
  <si>
    <t>Pump Maintenance</t>
  </si>
  <si>
    <t>Repair Cess to MCGM</t>
  </si>
  <si>
    <t>Security Services</t>
  </si>
  <si>
    <t>Water Charges</t>
  </si>
  <si>
    <t>Grand Total</t>
  </si>
  <si>
    <t>+/-</t>
  </si>
  <si>
    <t xml:space="preserve">  "   Housekeeping Charges</t>
  </si>
  <si>
    <t xml:space="preserve">     -- On Electric Motor &amp; Pumpsets</t>
  </si>
  <si>
    <t xml:space="preserve">  "   Rent</t>
  </si>
  <si>
    <t xml:space="preserve">  "    Interest on Fixed Deposit </t>
  </si>
  <si>
    <t xml:space="preserve"> "  Excess of Expenditure over Income</t>
  </si>
  <si>
    <t xml:space="preserve">LOANS &amp; ADVANCES  </t>
  </si>
  <si>
    <t xml:space="preserve">      &amp; Tenants </t>
  </si>
  <si>
    <t>By Collection from Members</t>
  </si>
  <si>
    <t xml:space="preserve">  "   Insurance </t>
  </si>
  <si>
    <t xml:space="preserve">          Transfer from Income and Expenditure A/c</t>
  </si>
  <si>
    <t>Miscellaneous Expenses</t>
  </si>
  <si>
    <t>Building - 17</t>
  </si>
  <si>
    <t xml:space="preserve"> </t>
  </si>
  <si>
    <t>Advance Printinterstng Rs</t>
  </si>
  <si>
    <t>Provision for tax</t>
  </si>
  <si>
    <t>make 2 vouchers</t>
  </si>
  <si>
    <t>Petty cash payment      Rs</t>
  </si>
  <si>
    <t>Audit findings</t>
  </si>
  <si>
    <t>Retention - Contractors</t>
  </si>
  <si>
    <t>SA AY 16-17 not receivable</t>
  </si>
  <si>
    <t>hence charge I E</t>
  </si>
  <si>
    <t>Transfer to Education Fund</t>
  </si>
  <si>
    <t>Not in TCHS By-Laws. TCHS has not adopted Model By-Laws</t>
  </si>
  <si>
    <t>TDS payable printing Souviner- Printinterestng</t>
  </si>
  <si>
    <t>Transfers to Sinking, Reserve and Repair funds reversed</t>
  </si>
  <si>
    <t>Month</t>
  </si>
  <si>
    <t>Aishwarya Rane</t>
  </si>
  <si>
    <t>R P Jha</t>
  </si>
  <si>
    <t>Vasanti Kanere</t>
  </si>
  <si>
    <t>Repairs &amp; Maintenance- Others</t>
  </si>
  <si>
    <t xml:space="preserve">  "   Tea &amp; Refreshment Expenses</t>
  </si>
  <si>
    <t xml:space="preserve">     -- On Office Equipment</t>
  </si>
  <si>
    <t>1-A 07 HALDIPUR SUMAN MOHAN</t>
  </si>
  <si>
    <t>02 04 CHANDAVARKAR DEVDATTA NARAYAN</t>
  </si>
  <si>
    <t>02 08 ANDAR UDAY BHUJANG</t>
  </si>
  <si>
    <t>02 09 GULVADY ASHOK VENKATRAO</t>
  </si>
  <si>
    <t>3 - 5 01 HALADY VIVEKANAND GANPAT</t>
  </si>
  <si>
    <t>3 - 5 06 SAVKUR SANJAY SADANAND</t>
  </si>
  <si>
    <t>4 - 6 08 GANGOLLI ANJALI VINOD</t>
  </si>
  <si>
    <t>4 - 6 21 SHIRUR D'SOUZA GAURI</t>
  </si>
  <si>
    <t>08 06 SHIRVAIKAR NEETA CHANDAN</t>
  </si>
  <si>
    <t>09 04 GULVADY SHANTA ASHOK</t>
  </si>
  <si>
    <t>09 05 NADKARNI ARATI PRASHANT</t>
  </si>
  <si>
    <t>09 08 NAGARKATTI UDAY BHASKAR</t>
  </si>
  <si>
    <t>15 03 PONGURLEKAR JITENDRA RAMAKANT</t>
  </si>
  <si>
    <t>17 05 MAVINKURVE PRAMOD SHANTARAM</t>
  </si>
  <si>
    <t>17 06 MAVINKURVE PRAMOD SHANTARAM</t>
  </si>
  <si>
    <t>Tenant 02 - 6C PATANKAR LEELAVATI SHANKAR</t>
  </si>
  <si>
    <t>Tenant 16 - 07 HONAVER NIRMALA VASANT RAO</t>
  </si>
  <si>
    <t xml:space="preserve">  "    1/7th Share of License Fees</t>
  </si>
  <si>
    <t>Building - 1A</t>
  </si>
  <si>
    <t>Electrical Repairs</t>
  </si>
  <si>
    <t>TRAIL BALANCE</t>
  </si>
  <si>
    <t>ELECTRIC MOTOR PUMP SET &amp; ACCESSORIES</t>
  </si>
  <si>
    <t>Income tax provision to be made</t>
  </si>
  <si>
    <t>FD interest trf to sinking fund</t>
  </si>
  <si>
    <t>Excess IT provision adjustment</t>
  </si>
  <si>
    <t>Water tax payable bs &amp; pnl- cross check</t>
  </si>
  <si>
    <t>Pending Work</t>
  </si>
  <si>
    <t>OK</t>
  </si>
  <si>
    <t>Less:- Refunds/ Adjustments</t>
  </si>
  <si>
    <t>Alteration Deposits</t>
  </si>
  <si>
    <t>Opening</t>
  </si>
  <si>
    <t>Transactions</t>
  </si>
  <si>
    <t>Closing</t>
  </si>
  <si>
    <t>Alt Deposit- 2 21 Ashok Gulvady</t>
  </si>
  <si>
    <t>Alt Deposit- 4-6 21 Gauri Shirur</t>
  </si>
  <si>
    <t>Alt Deposit- 4 - 6 28 Basrur Aparna Sunilkumar</t>
  </si>
  <si>
    <t>Alt Deposit- 9-4 Shanta Ashok Gulvady</t>
  </si>
  <si>
    <t>Alt Deposit- Tent MG 2 Populat Ambulance</t>
  </si>
  <si>
    <t>SVC Bank, OD A/c. No.02</t>
  </si>
  <si>
    <t>Duties &amp; Taxes- GST</t>
  </si>
  <si>
    <t>Check</t>
  </si>
  <si>
    <t>Rs.</t>
  </si>
  <si>
    <t>TCHS Structural Repairs - GL/DOSHI Certificate by Bldg - SUMMARY</t>
  </si>
  <si>
    <t>Comparison of Total Costs</t>
  </si>
  <si>
    <t>Rajasthan</t>
  </si>
  <si>
    <t>SOM</t>
  </si>
  <si>
    <t>NET</t>
  </si>
  <si>
    <t>Total WIP as per Balance Sheet</t>
  </si>
  <si>
    <r>
      <rPr>
        <b/>
        <sz val="12"/>
        <color theme="1"/>
        <rFont val="Bookman Old Style"/>
        <family val="1"/>
      </rPr>
      <t>Add</t>
    </r>
    <r>
      <rPr>
        <sz val="12"/>
        <color theme="1"/>
        <rFont val="Bookman Old Style"/>
        <family val="1"/>
      </rPr>
      <t xml:space="preserve"> Earnest Money Deposit reveresed from balance since already adjusted by Doshi in Certificates</t>
    </r>
  </si>
  <si>
    <r>
      <rPr>
        <b/>
        <sz val="12"/>
        <color theme="1"/>
        <rFont val="Bookman Old Style"/>
        <family val="1"/>
      </rPr>
      <t>Add</t>
    </r>
    <r>
      <rPr>
        <sz val="12"/>
        <color theme="1"/>
        <rFont val="Bookman Old Style"/>
        <family val="1"/>
      </rPr>
      <t xml:space="preserve"> Doshi's Cost 8,48,508</t>
    </r>
  </si>
  <si>
    <t>Total Cost as per Doshi's PDF file + VAT</t>
  </si>
  <si>
    <t>DIFFERENCE ADJUSTED IN  Raj &amp; SOM</t>
  </si>
  <si>
    <t>Doshi</t>
  </si>
  <si>
    <t>Rehab Costs to be capitalised</t>
  </si>
  <si>
    <t>Building</t>
  </si>
  <si>
    <t>1A</t>
  </si>
  <si>
    <t>4 6</t>
  </si>
  <si>
    <t>3  5</t>
  </si>
  <si>
    <t>Room behind Bldg 2</t>
  </si>
  <si>
    <t>Stru Rep Fund</t>
  </si>
  <si>
    <t>Cost Of Painting</t>
  </si>
  <si>
    <t>Bal</t>
  </si>
  <si>
    <t>GRAND TOTAL</t>
  </si>
  <si>
    <t>KSA</t>
  </si>
  <si>
    <t>Q 1</t>
  </si>
  <si>
    <t>Q 2</t>
  </si>
  <si>
    <t>Q 3</t>
  </si>
  <si>
    <t>Q 4</t>
  </si>
  <si>
    <t>Security D N</t>
  </si>
  <si>
    <t>Sirur Square Parking C N</t>
  </si>
  <si>
    <t>TCHS Debit Note</t>
  </si>
  <si>
    <t>Hall Booking Compensation</t>
  </si>
  <si>
    <t>Use of Sirur Square</t>
  </si>
  <si>
    <t>Garden Development</t>
  </si>
  <si>
    <t>Sinking Fund</t>
  </si>
  <si>
    <t>Special Repair Fund</t>
  </si>
  <si>
    <t>Repairs Fund</t>
  </si>
  <si>
    <t>Tenancy Rights Transfer Shop No. 4</t>
  </si>
  <si>
    <t xml:space="preserve">Structural Repairs and Painting Amount Approved By Members In 2014 AGM </t>
  </si>
  <si>
    <t>2012-13 Balance Sheet Extract</t>
  </si>
  <si>
    <t>AGM Minutes 2013</t>
  </si>
  <si>
    <t>AGM Minutes 2014</t>
  </si>
  <si>
    <t>Structural Repair Fund</t>
  </si>
  <si>
    <t>2015-16</t>
  </si>
  <si>
    <t>cont</t>
  </si>
  <si>
    <t xml:space="preserve">         Other Misc Income</t>
  </si>
  <si>
    <t>COMPARATIVE STATEMENT OF EXPENSES</t>
  </si>
  <si>
    <t xml:space="preserve">COMPARATIVE STATEMENT OF INCOME </t>
  </si>
  <si>
    <t>OFFICE EQUIPMENT</t>
  </si>
  <si>
    <t>Office Equipment</t>
  </si>
  <si>
    <t>Balance</t>
  </si>
  <si>
    <t>Alt Deposit- 3-5/18 Guruprasad Caterers</t>
  </si>
  <si>
    <t>Alt Deposit- 3-5/9 Sudhir Konje</t>
  </si>
  <si>
    <t xml:space="preserve">  "   Other Charges</t>
  </si>
  <si>
    <t>TDS Payable</t>
  </si>
  <si>
    <t>Land &amp; Buldings</t>
  </si>
  <si>
    <t>Office Equipments</t>
  </si>
  <si>
    <t>Conveyance</t>
  </si>
  <si>
    <t>Insurance Paid</t>
  </si>
  <si>
    <t>01 07 KABINITTAL VIDYA  VIJAY</t>
  </si>
  <si>
    <t>01 08 MALLAPUR JAGDISH NAGESH</t>
  </si>
  <si>
    <t>01 10 KABINITTAL NIHAR VIJAY</t>
  </si>
  <si>
    <t>01 20 GELANI PRAFUL NANUBHAI</t>
  </si>
  <si>
    <t>01 21 GELANI PRAFUL NANUBHAI</t>
  </si>
  <si>
    <t>01 25 KUDYADI NANDAN PRABHAKAR</t>
  </si>
  <si>
    <t>1-A 02 BHAT AJIT MADHUSUDAN</t>
  </si>
  <si>
    <t>02 16 BAINDURKAR INDIRA SHARAD</t>
  </si>
  <si>
    <t>02 17 BAINDURKAR SHARAD RAGHUVIR</t>
  </si>
  <si>
    <t>02 21 GULVADY ASHOK VENKATRAO</t>
  </si>
  <si>
    <t>02 22 MALLAPUR RANJANI SUNDARRAO</t>
  </si>
  <si>
    <t>02 23 MALLAPUR RANJANI SUNDARRAO</t>
  </si>
  <si>
    <t>3 - 5 24 PADUKONE SAVITA GAUTAM</t>
  </si>
  <si>
    <t>07 11 KUMBLE SUNITHA BHASKAR</t>
  </si>
  <si>
    <t>08 07 MAVINKURVE SOUMITRA SURYAKANT</t>
  </si>
  <si>
    <t>Tenant 16 - 02 BALSEKAR VIMALA NARSING</t>
  </si>
  <si>
    <t>Tenant 16 - 08 TRASY RAMESH RAGHUVIR</t>
  </si>
  <si>
    <t>Tenant 16 - 09 PONGURLEKAR SANGITA RAMAKANT</t>
  </si>
  <si>
    <t xml:space="preserve">Tenants Due Account </t>
  </si>
  <si>
    <t>Advance received from Tenants</t>
  </si>
  <si>
    <t>Opening Balance as on 01.04.18</t>
  </si>
  <si>
    <t xml:space="preserve">  "   Office Expenses</t>
  </si>
  <si>
    <t xml:space="preserve">  "   Education Fund</t>
  </si>
  <si>
    <t xml:space="preserve">  "   Legal Fund</t>
  </si>
  <si>
    <t xml:space="preserve"> "  Excess of Income over Expenditure</t>
  </si>
  <si>
    <t>02 07 UDAY BHUJANGRAO ANDAR</t>
  </si>
  <si>
    <t>02 10 SURKUND SUCHITRA SHIVSHANKAR</t>
  </si>
  <si>
    <t>02 11 SURKUND SUCHITRA SHIVSHANKAR</t>
  </si>
  <si>
    <t>02 14 DHOLAKIA NEHA HEM</t>
  </si>
  <si>
    <t>3 - 5 15 BAINDUR SUMEET SHARADKUMAR</t>
  </si>
  <si>
    <t>4 - 6 05 SAUKUR RAJESH NIRANJAN</t>
  </si>
  <si>
    <t>15 23 KULKARNI JAYESH DILIP</t>
  </si>
  <si>
    <t>15 24 KULKARNI JAYESH DILIP</t>
  </si>
  <si>
    <t>17 11 MUDBIDRI JEETENDRA DEV</t>
  </si>
  <si>
    <t>Advance- Mohsin</t>
  </si>
  <si>
    <t>Bank Charges</t>
  </si>
  <si>
    <t>Depreciation</t>
  </si>
  <si>
    <t>Office Expenses</t>
  </si>
  <si>
    <t>Telephone Expenses</t>
  </si>
  <si>
    <t>Profit &amp; Loss A/c</t>
  </si>
  <si>
    <t>Darshana Mahadik</t>
  </si>
  <si>
    <t>Alt Deposit- 15/06- Nirmala Murdeshwar</t>
  </si>
  <si>
    <t>Alt Deposit- 1A- 17 Gautam Padukone</t>
  </si>
  <si>
    <t xml:space="preserve">  "   Software Renewal Charges</t>
  </si>
  <si>
    <t>CO-OP. EDUCATION &amp; PROMOTIONAL FUND</t>
  </si>
  <si>
    <t>Property Tax</t>
  </si>
  <si>
    <t>Housekeeping Charges</t>
  </si>
  <si>
    <t>Shredder Machine</t>
  </si>
  <si>
    <t>Opening Balance as on 01.04.20</t>
  </si>
  <si>
    <t xml:space="preserve">     -- On Shredder Machine</t>
  </si>
  <si>
    <t xml:space="preserve">  "   Diwali Expenses</t>
  </si>
  <si>
    <t xml:space="preserve">  "   Covid Expenses</t>
  </si>
  <si>
    <t xml:space="preserve">  "    Compensation From K.S.A. (Member)</t>
  </si>
  <si>
    <t>Composite Machine</t>
  </si>
  <si>
    <t xml:space="preserve">     -- On Composite Machine</t>
  </si>
  <si>
    <t>Composte Machine</t>
  </si>
  <si>
    <t>Annual Maintenance Charges</t>
  </si>
  <si>
    <t>Covid Expenses</t>
  </si>
  <si>
    <t>Diwali Expenses</t>
  </si>
  <si>
    <t>Tea &amp; Refreshment Expenses</t>
  </si>
  <si>
    <t>THE TALMAKIWADI CO-OPERATIVE HOUSING SOCIETY LTD.</t>
  </si>
  <si>
    <t>01</t>
  </si>
  <si>
    <t>01 15 SASHITAL SUDHIR VINAYAK</t>
  </si>
  <si>
    <t>01 16 SASHITAL ASHWIN ARUN</t>
  </si>
  <si>
    <t>01-A</t>
  </si>
  <si>
    <t>02</t>
  </si>
  <si>
    <t>03 - 05</t>
  </si>
  <si>
    <t>3 - 5 13 SHIROOR CHAITANYA SHIVRAM</t>
  </si>
  <si>
    <t>04 - 06</t>
  </si>
  <si>
    <t>4 - 6 13 MISRA VRINDA RAM</t>
  </si>
  <si>
    <t>07</t>
  </si>
  <si>
    <t>08</t>
  </si>
  <si>
    <t>09</t>
  </si>
  <si>
    <t>15</t>
  </si>
  <si>
    <t>17</t>
  </si>
  <si>
    <t>17 09 MAVINKURVE SUREKHA PANDURANG</t>
  </si>
  <si>
    <t>Parking</t>
  </si>
  <si>
    <t>Parking 13 - 05 KSA - SHIRUR PRAKASH VIJAYANAND</t>
  </si>
  <si>
    <t>Parking 13 - 06 KSA - PUTHLI SWATI   S.</t>
  </si>
  <si>
    <t>Tenant</t>
  </si>
  <si>
    <t>Tenant 16 - 05 SARASWATI VOL. &amp; ATH. LEAGUE.</t>
  </si>
  <si>
    <t>Tenant 16 - 10 MUDUR SUNEETA MURLIDHAR</t>
  </si>
  <si>
    <t>Outstanding Dues From Members</t>
  </si>
  <si>
    <t>Car Parking Charges- Casual</t>
  </si>
  <si>
    <t>Car Parking Charges- Non Members</t>
  </si>
  <si>
    <t>Car Parking Charges- Sirur Square, KSA</t>
  </si>
  <si>
    <t>KSA Compensation For Hall Booking</t>
  </si>
  <si>
    <t>1/7Th Share of License Fee</t>
  </si>
  <si>
    <t>CEW Charges</t>
  </si>
  <si>
    <t>Education Fund</t>
  </si>
  <si>
    <t>Insurance Premium</t>
  </si>
  <si>
    <t>Interest on Overdue</t>
  </si>
  <si>
    <t>Land Revenue</t>
  </si>
  <si>
    <t>Legal Fund</t>
  </si>
  <si>
    <t>MCGM Property Tax</t>
  </si>
  <si>
    <t>MCGM Repair Cess</t>
  </si>
  <si>
    <t>Non Occupancy Charges</t>
  </si>
  <si>
    <t>Other Charges</t>
  </si>
  <si>
    <t>Parking Charges</t>
  </si>
  <si>
    <t>Rent</t>
  </si>
  <si>
    <t>Service Charges</t>
  </si>
  <si>
    <t>Submeter Charges</t>
  </si>
  <si>
    <t>Upkeep Charges</t>
  </si>
  <si>
    <t>Aishwarya S. Rane</t>
  </si>
  <si>
    <t>Sheetal Vokethur</t>
  </si>
  <si>
    <t>Suresh Shelke</t>
  </si>
  <si>
    <t>Vasanti Ramchandra Kanere</t>
  </si>
  <si>
    <t>Dry Waste Bags</t>
  </si>
  <si>
    <t>Building- 01</t>
  </si>
  <si>
    <t>Building- 02</t>
  </si>
  <si>
    <t>Building 03-05</t>
  </si>
  <si>
    <t>Building 04-06</t>
  </si>
  <si>
    <t>Building- 07</t>
  </si>
  <si>
    <t>Building- 08</t>
  </si>
  <si>
    <t>Building- 09</t>
  </si>
  <si>
    <t>Building- 16</t>
  </si>
  <si>
    <t>Building- 15</t>
  </si>
  <si>
    <t>Income</t>
  </si>
  <si>
    <t>Year</t>
  </si>
  <si>
    <t>Difference</t>
  </si>
  <si>
    <t>Percentage</t>
  </si>
  <si>
    <t>Expenditure</t>
  </si>
  <si>
    <t>Sheetal Vokhetur</t>
  </si>
  <si>
    <t>Alt Deposit- 16/09 Sangita Pongurlekar</t>
  </si>
  <si>
    <t>Alt Deposit- 1A/20 Sunita Hemmady</t>
  </si>
  <si>
    <t>Alt Deposit- 3-5/26 Nilesh Kalyanpur</t>
  </si>
  <si>
    <t>Alt Deposit- MG 01 Satish Bellimal</t>
  </si>
  <si>
    <t>Alt Deposit- SQ 01 Nandini Basrur</t>
  </si>
  <si>
    <t>Alt Deposit- Vaishali Nagarkatti</t>
  </si>
  <si>
    <t>Salary Paid to Contractual Employees</t>
  </si>
  <si>
    <r>
      <rPr>
        <b/>
        <sz val="11"/>
        <color theme="1"/>
        <rFont val="Calibri"/>
        <family val="2"/>
        <scheme val="minor"/>
      </rPr>
      <t>Add:-</t>
    </r>
    <r>
      <rPr>
        <sz val="11"/>
        <color theme="1"/>
        <rFont val="Calibri"/>
        <family val="2"/>
        <scheme val="minor"/>
      </rPr>
      <t xml:space="preserve"> Additions during the years</t>
    </r>
  </si>
  <si>
    <r>
      <rPr>
        <b/>
        <sz val="11"/>
        <color theme="1"/>
        <rFont val="Calibri"/>
        <family val="2"/>
        <scheme val="minor"/>
      </rPr>
      <t>Less:-</t>
    </r>
    <r>
      <rPr>
        <sz val="11"/>
        <color theme="1"/>
        <rFont val="Calibri"/>
        <family val="2"/>
        <scheme val="minor"/>
      </rPr>
      <t xml:space="preserve"> Depreciation for the year</t>
    </r>
  </si>
  <si>
    <t>C. K. Enterprises</t>
  </si>
  <si>
    <t>Surendra Rajbhor</t>
  </si>
  <si>
    <t>TDS</t>
  </si>
  <si>
    <t>SHREDDER MACHINE</t>
  </si>
  <si>
    <t>COMPOSITE MACHINE</t>
  </si>
  <si>
    <t>Provision for TDS</t>
  </si>
  <si>
    <t>Provision for Repairs</t>
  </si>
  <si>
    <t>To Transfer to Reserve Fund</t>
  </si>
  <si>
    <t>To Transfer to Sinking Fund</t>
  </si>
  <si>
    <t>Contractual Employee's Salary Payable</t>
  </si>
  <si>
    <t xml:space="preserve">  "   Training Expenses</t>
  </si>
  <si>
    <t xml:space="preserve">     -- On Water Purifier</t>
  </si>
  <si>
    <t>Water Purifier</t>
  </si>
  <si>
    <t xml:space="preserve">  "    Dividend Income</t>
  </si>
  <si>
    <t xml:space="preserve">  "    STCG on Sale of Mutual Funds</t>
  </si>
  <si>
    <t xml:space="preserve">  "    Donation for Garden Development</t>
  </si>
  <si>
    <t xml:space="preserve">  "   Contract Charges</t>
  </si>
  <si>
    <t>Accrued Interest- Fixed Deposit</t>
  </si>
  <si>
    <t>WATER PURIFIER</t>
  </si>
  <si>
    <t>Less:- Transfer to Strutural Repair Charges</t>
  </si>
  <si>
    <t>Mohammed Aslam Salim Shaikh</t>
  </si>
  <si>
    <t>Sharda Construction</t>
  </si>
  <si>
    <t>Advance- SV Construction</t>
  </si>
  <si>
    <t>Mutual Funds</t>
  </si>
  <si>
    <t>Advance- SV Construction (Proprietorship)</t>
  </si>
  <si>
    <t>Advance- CK Entereprise</t>
  </si>
  <si>
    <t>STRUCTURAL REPAIR FUND</t>
  </si>
  <si>
    <t>Add:- Transfer from Administrative Funds</t>
  </si>
  <si>
    <t>Add:- Transfer from Repair Funds</t>
  </si>
  <si>
    <t>Add:- Transfer from Special Repair Funds</t>
  </si>
  <si>
    <t>Add:- Transfer from Sinking Funds</t>
  </si>
  <si>
    <t>Provision for Taxation</t>
  </si>
  <si>
    <t xml:space="preserve">            Nomination Fees, Membership charge</t>
  </si>
  <si>
    <t>GST- ITC</t>
  </si>
  <si>
    <t>01 12 HALADY UMA MANOHAR</t>
  </si>
  <si>
    <t>01 13 RAO KOMAL GAUTAM</t>
  </si>
  <si>
    <t>01 14 RAO KOMAL GAUTAM</t>
  </si>
  <si>
    <t>01 17 VEKARIA MANSUKHBHAI KALABHAI</t>
  </si>
  <si>
    <t>1-A 03 NADKARNI SHARAD VITHAL</t>
  </si>
  <si>
    <t>1-A 04 NADKARNI NEELRATNA SADANAND</t>
  </si>
  <si>
    <t>1-A 06 HATTANGADI ASHOK DATTATRAYA</t>
  </si>
  <si>
    <t>1-A 10 KUMBLE SATYENDRA GURUDATHA</t>
  </si>
  <si>
    <t>1-A 11 MEENAKSHI SATYENDRA KUMBLE</t>
  </si>
  <si>
    <t>1-A 17 PADUKONE GAUTAM MUKUND</t>
  </si>
  <si>
    <t>02 12 HONAWAR ANAND UMESH</t>
  </si>
  <si>
    <t>02 15 KULKARNI DEVDUTT KISHORE</t>
  </si>
  <si>
    <t>02 20 ASHOK VENKATRAO GULVADY</t>
  </si>
  <si>
    <t>3 - 5 09 KONAJE SUDHIR SAKHARAM</t>
  </si>
  <si>
    <t>3 - 5 10 KUMBLE MEENAKSHI SATYENDRA</t>
  </si>
  <si>
    <t>3 - 5 16 KUMBLE ANJALI GURUDATTA</t>
  </si>
  <si>
    <t>3 - 5 18 GANGAVALI SUMATI VIVEK</t>
  </si>
  <si>
    <t>3 - 5 23 TOMBAT VANDITA SHASHIKANT</t>
  </si>
  <si>
    <t>3 - 5 29 NAGARKATTI SHEELA KIRAN</t>
  </si>
  <si>
    <t>3 - 5 32 TRASI RUTA ASHUTOSH</t>
  </si>
  <si>
    <t>3 - 5 36 KAIKINI NITIN VITHAL</t>
  </si>
  <si>
    <t>3 - 5 44 GONSALVES MUKTA GABRIEL</t>
  </si>
  <si>
    <t>4 - 6 02 BIJUR SUSHMA SRIDHAR</t>
  </si>
  <si>
    <t>4 - 6 03 VAKNALLI GURUNATH DEVIDAS</t>
  </si>
  <si>
    <t>4 - 6 06 DATTAMANDIR TRUST</t>
  </si>
  <si>
    <t>4 - 6 15 SARITA S. PANDIT</t>
  </si>
  <si>
    <t>4 - 6 25 DATTA CHOUDHARY DEBESH</t>
  </si>
  <si>
    <t>4 - 6 26 DHADUK DHIRUBHAI MOHANBHAI</t>
  </si>
  <si>
    <t>4 - 6 28 KALBAG APARNAA RAJEEV</t>
  </si>
  <si>
    <t>07 02 AMLADI LEELA RAGHUVIR</t>
  </si>
  <si>
    <t>07 09 BELLARE NITYANAND BHAVANISHANKAR</t>
  </si>
  <si>
    <t>07 10 BELLARE PREETA SADANAND</t>
  </si>
  <si>
    <t>08 01 SMRUTI N. KHANAPURKAR</t>
  </si>
  <si>
    <t>08 08 NADKARNI NIVEDITA BIPIN</t>
  </si>
  <si>
    <t>08 10 BALSEKAR RUPA SHYAM</t>
  </si>
  <si>
    <t>08 15 SIRUR NALINI KRISHNANAND</t>
  </si>
  <si>
    <t>08 19 MAVINKURVE HEMANT SHIVANAND</t>
  </si>
  <si>
    <t>09 01 HALADY SHIVDUTT GAJANAN</t>
  </si>
  <si>
    <t>09 06 MULKY ALOK MOHAN</t>
  </si>
  <si>
    <t>09 09 MAVINKURVE PRAKASH SHANTARAM</t>
  </si>
  <si>
    <t>09 12 MAVINKURVE PRAKASH SHANTARAM</t>
  </si>
  <si>
    <t>15 01 NAGARMATH ARVIND RAMESH</t>
  </si>
  <si>
    <t>15 07 SAVKUR MRIDULA MOHAN</t>
  </si>
  <si>
    <t>15 08 RAO MOHANRAO GANPAT</t>
  </si>
  <si>
    <t>15 09 SAVKUR AMIT MOHAN</t>
  </si>
  <si>
    <t>15 11 HATTANGADI MANOHAR DATTATRAYA</t>
  </si>
  <si>
    <t>15 16 STHALEKAR NIRMALA GURUNATH</t>
  </si>
  <si>
    <t>15 17 KALYANPUR USHA MOHAN</t>
  </si>
  <si>
    <t>15 18 KALYANPUR USHA MOHAN</t>
  </si>
  <si>
    <t>15 22 TALLUR GAJANAN RAO</t>
  </si>
  <si>
    <t>17 02 KATRE VINAYA GAURANG</t>
  </si>
  <si>
    <t>17 04 PAI SHAMALA VISHNUDAS</t>
  </si>
  <si>
    <t>17 07 GANGOLI SHEKHAR KISAN</t>
  </si>
  <si>
    <t>17 08 PANDIT AJEET VINOD</t>
  </si>
  <si>
    <t>17 10 BURDE GURUDATT BHALCHANDRA</t>
  </si>
  <si>
    <t>17 13 BANTWAL SUJATA BHAT</t>
  </si>
  <si>
    <t>17 16 CHANDAVARKAR SUMATI DATTANAND</t>
  </si>
  <si>
    <t>17 18 NADKARNI NIRMALA VASANT</t>
  </si>
  <si>
    <t>Tenant 01 - 3A MALLAPUR JAYPAL NAMDEO</t>
  </si>
  <si>
    <t>Tenant 01 - 3B LAKHANI ADAM MOHAMAD</t>
  </si>
  <si>
    <t>Tenant 16 - 11 SAWANT NAMRATA NAGESH</t>
  </si>
  <si>
    <t>Tenant 16 - 12 SIRUR RAMANAND MANGESH</t>
  </si>
  <si>
    <t>Tenant 16 - 14 YADERY VINAYAK MANJUNATH</t>
  </si>
  <si>
    <t>Tenant 16 - 15 NADKARNI BIPIN VASANT</t>
  </si>
  <si>
    <t>Tenant MG - 02 POPULAR AMBULANCE</t>
  </si>
  <si>
    <t>as on 31-Mar-2023</t>
  </si>
  <si>
    <t>1-Apr-2022 to 31-Mar-2023</t>
  </si>
  <si>
    <t>Depreciation for the year ended 31 March 2023</t>
  </si>
  <si>
    <t>Rent- Monthly Maintenance Charges</t>
  </si>
  <si>
    <t>Car Parking Charges</t>
  </si>
  <si>
    <t>KSA- Kannara Saraswat Association</t>
  </si>
  <si>
    <t>Associate Membership Fees</t>
  </si>
  <si>
    <t>Donation For Garden Development</t>
  </si>
  <si>
    <t>NOC Charges</t>
  </si>
  <si>
    <t>Round off- GST</t>
  </si>
  <si>
    <t>Sale of Scrap Material</t>
  </si>
  <si>
    <t>Dividend Income- Mutual Funds</t>
  </si>
  <si>
    <t>Interest on Fixed Deposits</t>
  </si>
  <si>
    <t>STCG on Sale of Mutual Funds</t>
  </si>
  <si>
    <t>KSA- Use of Sirur Square Hall Booking</t>
  </si>
  <si>
    <t>Discount Received</t>
  </si>
  <si>
    <t>1-Apr-22 to 31-Mar-23</t>
  </si>
  <si>
    <t>Contract Charges Paid</t>
  </si>
  <si>
    <t>Consultancy Charges</t>
  </si>
  <si>
    <t>Applcation Fees- Repairs</t>
  </si>
  <si>
    <t>Material Purchase</t>
  </si>
  <si>
    <t>AGM/SGM Expenses</t>
  </si>
  <si>
    <t>Software Renewal Charges</t>
  </si>
  <si>
    <t>Training Expenses</t>
  </si>
  <si>
    <t>Donation</t>
  </si>
  <si>
    <t>Garbage Cleaning Charges</t>
  </si>
  <si>
    <t>Internet Charges</t>
  </si>
  <si>
    <t>2022-23</t>
  </si>
  <si>
    <t>2021-22</t>
  </si>
  <si>
    <t>Redevelopment Expenses</t>
  </si>
  <si>
    <t>Alt Charges- 1A 11 Meenakshi Kumble</t>
  </si>
  <si>
    <t>Alt Dep 4-6 6 Dattamandir</t>
  </si>
  <si>
    <t>Alt Deposit- 01 12 Rekha Nadkarni</t>
  </si>
  <si>
    <t>Alt Deposit- 02 03 Rajesh Kalyanpur</t>
  </si>
  <si>
    <t>Alt Deposit- 02 04 Chandavarkar Devdatta Narayan</t>
  </si>
  <si>
    <t>Alt Deposit- 02 19 Mohan Nadkarni</t>
  </si>
  <si>
    <t>Alt Deposit- 02/24 Mahendra Kaikini</t>
  </si>
  <si>
    <t>Alt Deposit- 03-05 14 Shaila Mavinkurve</t>
  </si>
  <si>
    <t>Alt Deposit- 04-06/03 Gurunath Vaknalli</t>
  </si>
  <si>
    <t>Alt Deposit- 04-06 04 Ashwin Gulwadi</t>
  </si>
  <si>
    <t>Alt Deposit- 04-06 16 Krupa Nagarkar</t>
  </si>
  <si>
    <t>Alt Deposit- 04 06 29 Maruti Puttur</t>
  </si>
  <si>
    <t>Alt Deposit- 07 08 Vanita Trasi</t>
  </si>
  <si>
    <t>Alt Deposit- 08 03 Meena Udiyawar</t>
  </si>
  <si>
    <t>Alt Deposit- 08 10 Shyam Balsekar</t>
  </si>
  <si>
    <t>Alt Deposit- 08 12 Shyam Balsekar</t>
  </si>
  <si>
    <t>Alt Deposit- 08 16 Subodh Shirur</t>
  </si>
  <si>
    <t>Alt Deposit- 08 20 Subodh Yederi</t>
  </si>
  <si>
    <t>Alt Deposit- 15 19-20 Sheila Nadkarni</t>
  </si>
  <si>
    <t>Alt Deposit- 15 22 Gaurita Udiyawar</t>
  </si>
  <si>
    <t>Alt Deposit- 15/ 28 Sudhir Balwally</t>
  </si>
  <si>
    <t>Alt Deposit- 16 01 Vimala Kalbaug</t>
  </si>
  <si>
    <t>Alt Deposit- 16-04 Swati Deshpande</t>
  </si>
  <si>
    <t>Alt Deposit- 16 08 Ramesh Trasy</t>
  </si>
  <si>
    <t>Alt Deposit- 16 10 Suneeta Mudur</t>
  </si>
  <si>
    <t>Alt Deposit- 16/11 Namrata Sawant</t>
  </si>
  <si>
    <t>Alt Deposit- 16 16 Vijay Sadwelkar</t>
  </si>
  <si>
    <t>Alt Deposit- 17/11 Jeetendra Mudbidri</t>
  </si>
  <si>
    <t>Alt Deposit- 17 22 Bellimal Satish</t>
  </si>
  <si>
    <t>Alt Deposit- 1A/02 Ajit Bhat</t>
  </si>
  <si>
    <t>Alt Deposit- 1A/10 Satyendra Kumble</t>
  </si>
  <si>
    <t>Alt Deposit- 2 20 Asha Chandavarkar</t>
  </si>
  <si>
    <t>Alt Deposit- 3-5/08 Mangesh Nagarkar</t>
  </si>
  <si>
    <t>Alt Deposit- 4-6 18  Gayatri Sirur</t>
  </si>
  <si>
    <t>Alt Deposit- Vaibhav Chinchankar 15/21</t>
  </si>
  <si>
    <t>INCOME AND EXPENDITURE ACCOUNT FOR THE YEAR ENDED 31.03.2023</t>
  </si>
  <si>
    <t xml:space="preserve">  "    Discount Received</t>
  </si>
  <si>
    <t xml:space="preserve">  "   Garbage Cleaning Expenses</t>
  </si>
  <si>
    <t xml:space="preserve">  "    Internet Charges</t>
  </si>
  <si>
    <t>Add:- Excess of Income over Expendture &amp; Adjst</t>
  </si>
  <si>
    <t>Bhikaji Muljhi Zala</t>
  </si>
  <si>
    <t>Manasvi Infotech</t>
  </si>
  <si>
    <t>Mullerpatan Prasad &amp; Nikhil Vaidya Architect</t>
  </si>
  <si>
    <t>Naturecare Trash Solutions</t>
  </si>
  <si>
    <t>S. V. Construction</t>
  </si>
  <si>
    <t>S. V. Construction (Prop)</t>
  </si>
  <si>
    <t>Advance- Sharda Constructions</t>
  </si>
  <si>
    <t>Sumedha Gore</t>
  </si>
  <si>
    <t>As per last Balance Sheet Plus WIP</t>
  </si>
  <si>
    <t>Dividend Receivable</t>
  </si>
  <si>
    <t>Advance for Repairs- 50% Share</t>
  </si>
  <si>
    <t>Work in Progress</t>
  </si>
  <si>
    <t>Investment in Fixed Deposits</t>
  </si>
  <si>
    <t>Investment in Mutual Funds</t>
  </si>
  <si>
    <t>TDS AY 2022-23</t>
  </si>
  <si>
    <t>Reimbursement</t>
  </si>
  <si>
    <t>Advertisement Charges</t>
  </si>
  <si>
    <t>Legal Charges</t>
  </si>
  <si>
    <t>FOR M/s. JAIN CHOWDHARY &amp; CO</t>
  </si>
  <si>
    <t>FRN- 113267W</t>
  </si>
  <si>
    <t>CA SIDDHARTH JAIN</t>
  </si>
  <si>
    <t>Add: Prior Period Items Wrongly credited to P&amp;L</t>
  </si>
  <si>
    <t>BALANCE SHEET AS AT 31ST MARCH  2023</t>
  </si>
  <si>
    <t xml:space="preserve">  "   Legal Expenses</t>
  </si>
  <si>
    <t>TALMAKIWADI CO-OPERATIVE HOUSING SOCIETY</t>
  </si>
  <si>
    <t>8/4,Talmakiwadi, Javji Dadaji Marg</t>
  </si>
  <si>
    <t>Tardeo, Mumbai- 400 007</t>
  </si>
  <si>
    <t>Group Summary</t>
  </si>
  <si>
    <t>TALMAKIWADI CO-OPERATIVE HOUSING SOCIETY - (from 1-Apr-2019)</t>
  </si>
  <si>
    <t>Accrued Interest on FD</t>
  </si>
  <si>
    <t>FD with SVC Bank</t>
  </si>
  <si>
    <t>Edelweiss Arbitrage Fund - Regular Plan Growth</t>
  </si>
  <si>
    <t>Edelweiss Balanced Advantage Fund- Regular Growth</t>
  </si>
  <si>
    <t>Edelweiss Balanced Advantage Fund - Regular Plan - Monthly IDCW</t>
  </si>
  <si>
    <t>B. C. H. F. Ltd</t>
  </si>
  <si>
    <t>M. S. Co-Op Bank Ltd</t>
  </si>
  <si>
    <t>Saraswat CHS Ltd</t>
  </si>
  <si>
    <t>SVC Bank- OD 00002</t>
  </si>
  <si>
    <t>SVC Bank- SB 25250</t>
  </si>
  <si>
    <t>Legal Expenses</t>
  </si>
  <si>
    <t>Suspense A/c</t>
  </si>
  <si>
    <t>The Shamrao Vithal Co-Op.Bank Ltd.  SB A/c. No.25250</t>
  </si>
  <si>
    <t>MANAGING PARTNER</t>
  </si>
  <si>
    <t>OP</t>
  </si>
  <si>
    <t>PLANT &amp; MACHINERY 15%</t>
  </si>
  <si>
    <t>PLANT &amp; MACHINERY  40%</t>
  </si>
  <si>
    <t>FURNITURE &amp; FIX 10%</t>
  </si>
  <si>
    <t>ADD BEFORE 180</t>
  </si>
  <si>
    <t>AFTER 180</t>
  </si>
  <si>
    <t>DEP ON FULL RATE</t>
  </si>
  <si>
    <t>DEP ON HALF RATE</t>
  </si>
  <si>
    <t>CLOSING BAL</t>
  </si>
  <si>
    <t>Add: Pur During The Year</t>
  </si>
  <si>
    <t>Add:-  Transfer from Income and Expenditure A/c</t>
  </si>
  <si>
    <t>Redevelopment Of Building -Cost</t>
  </si>
  <si>
    <t>Add:- Capital Contribution Recd From members during the Year</t>
  </si>
  <si>
    <t xml:space="preserve">          CHAIRMAN                                HON. SECRETARY                    TREASURER</t>
  </si>
  <si>
    <t>AS PER OUR REPORT OF EVEN DATE</t>
  </si>
  <si>
    <t>DATED:- 16.07.23</t>
  </si>
  <si>
    <t>M. No. 104709</t>
  </si>
  <si>
    <t xml:space="preserve"> DATED:- 16.07.2023</t>
  </si>
  <si>
    <t>Cheques issued but not Debited</t>
  </si>
  <si>
    <t>Cheques received but not Credited</t>
  </si>
  <si>
    <t>Deposit- 02/6A Mahalaxmi Food</t>
  </si>
  <si>
    <t>TALMAKIWADI CO-OPERATIVE HOUSING SOCIETY LIMITED</t>
  </si>
  <si>
    <t>TALMAKIWADI CO-OP. HOUSING SOCIETY LIMITED.</t>
  </si>
  <si>
    <t>FOR TALMAKIWADI CO-OP. HOUSING SOCIETY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</si>
</sst>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&quot;&quot;0.00"/>
    <numFmt numFmtId="168" formatCode="&quot;&quot;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theme="3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Bookman Old Style"/>
      <family val="1"/>
    </font>
    <font>
      <b/>
      <sz val="12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rgb="FFFF0000"/>
      <name val="Bookman Old Style"/>
      <family val="1"/>
    </font>
    <font>
      <b/>
      <sz val="16"/>
      <color theme="1"/>
      <name val="Bookman Old Style"/>
      <family val="1"/>
    </font>
    <font>
      <b/>
      <sz val="14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Book Antiqua"/>
      <family val="1"/>
    </font>
    <font>
      <b/>
      <u/>
      <sz val="12"/>
      <name val="Book Antiqua"/>
      <family val="1"/>
    </font>
    <font>
      <b/>
      <sz val="12"/>
      <name val="Book Antiqua"/>
      <family val="1"/>
    </font>
    <font>
      <b/>
      <i/>
      <sz val="12"/>
      <name val="Book Antiqua"/>
      <family val="1"/>
    </font>
    <font>
      <b/>
      <sz val="12"/>
      <color theme="1"/>
      <name val="Book Antiqua"/>
      <family val="1"/>
    </font>
    <font>
      <b/>
      <u/>
      <sz val="12"/>
      <color theme="1"/>
      <name val="Book Antiqua"/>
      <family val="1"/>
    </font>
    <font>
      <sz val="12"/>
      <color theme="1"/>
      <name val="Book Antiqua"/>
      <family val="1"/>
    </font>
    <font>
      <i/>
      <sz val="12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6" fillId="0" borderId="0"/>
  </cellStyleXfs>
  <cellXfs count="733">
    <xf numFmtId="0" fontId="0" fillId="0" borderId="0" xfId="0"/>
    <xf numFmtId="164" fontId="0" fillId="0" borderId="0" xfId="1" applyFont="1" applyBorder="1"/>
    <xf numFmtId="164" fontId="0" fillId="0" borderId="0" xfId="0" applyNumberFormat="1"/>
    <xf numFmtId="0" fontId="0" fillId="0" borderId="1" xfId="0" applyBorder="1"/>
    <xf numFmtId="0" fontId="0" fillId="0" borderId="3" xfId="0" applyBorder="1"/>
    <xf numFmtId="0" fontId="0" fillId="0" borderId="4" xfId="0" applyBorder="1"/>
    <xf numFmtId="164" fontId="0" fillId="0" borderId="4" xfId="1" applyFont="1" applyBorder="1"/>
    <xf numFmtId="164" fontId="0" fillId="0" borderId="6" xfId="0" applyNumberFormat="1" applyBorder="1"/>
    <xf numFmtId="0" fontId="0" fillId="0" borderId="7" xfId="0" applyBorder="1"/>
    <xf numFmtId="0" fontId="0" fillId="0" borderId="2" xfId="0" applyBorder="1"/>
    <xf numFmtId="0" fontId="8" fillId="0" borderId="8" xfId="0" applyFont="1" applyBorder="1"/>
    <xf numFmtId="0" fontId="0" fillId="0" borderId="5" xfId="0" applyBorder="1"/>
    <xf numFmtId="0" fontId="0" fillId="0" borderId="8" xfId="0" applyBorder="1"/>
    <xf numFmtId="0" fontId="9" fillId="0" borderId="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65" fontId="0" fillId="0" borderId="0" xfId="0" applyNumberFormat="1"/>
    <xf numFmtId="0" fontId="0" fillId="0" borderId="9" xfId="0" applyBorder="1"/>
    <xf numFmtId="165" fontId="9" fillId="0" borderId="0" xfId="1" applyNumberFormat="1" applyFont="1" applyBorder="1"/>
    <xf numFmtId="165" fontId="0" fillId="0" borderId="4" xfId="0" applyNumberFormat="1" applyBorder="1"/>
    <xf numFmtId="165" fontId="0" fillId="0" borderId="6" xfId="0" applyNumberFormat="1" applyBorder="1"/>
    <xf numFmtId="0" fontId="9" fillId="0" borderId="10" xfId="0" applyFont="1" applyBorder="1"/>
    <xf numFmtId="164" fontId="0" fillId="0" borderId="10" xfId="1" applyFont="1" applyBorder="1"/>
    <xf numFmtId="164" fontId="0" fillId="0" borderId="10" xfId="0" applyNumberFormat="1" applyBorder="1"/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5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164" fontId="0" fillId="0" borderId="15" xfId="1" applyFont="1" applyBorder="1"/>
    <xf numFmtId="164" fontId="0" fillId="0" borderId="12" xfId="1" applyFont="1" applyBorder="1"/>
    <xf numFmtId="164" fontId="0" fillId="0" borderId="12" xfId="0" applyNumberFormat="1" applyBorder="1"/>
    <xf numFmtId="164" fontId="9" fillId="0" borderId="10" xfId="1" applyFont="1" applyBorder="1"/>
    <xf numFmtId="0" fontId="9" fillId="0" borderId="15" xfId="0" applyFont="1" applyBorder="1"/>
    <xf numFmtId="164" fontId="9" fillId="0" borderId="15" xfId="1" applyFont="1" applyBorder="1"/>
    <xf numFmtId="164" fontId="9" fillId="0" borderId="15" xfId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164" fontId="0" fillId="0" borderId="18" xfId="1" applyFont="1" applyBorder="1"/>
    <xf numFmtId="164" fontId="0" fillId="0" borderId="19" xfId="1" applyFont="1" applyBorder="1"/>
    <xf numFmtId="0" fontId="0" fillId="0" borderId="16" xfId="0" applyBorder="1"/>
    <xf numFmtId="0" fontId="0" fillId="0" borderId="17" xfId="0" applyBorder="1"/>
    <xf numFmtId="164" fontId="8" fillId="0" borderId="0" xfId="0" applyNumberFormat="1" applyFont="1"/>
    <xf numFmtId="0" fontId="0" fillId="0" borderId="20" xfId="0" applyBorder="1"/>
    <xf numFmtId="0" fontId="0" fillId="0" borderId="21" xfId="0" applyBorder="1"/>
    <xf numFmtId="0" fontId="9" fillId="0" borderId="11" xfId="0" applyFont="1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10" fillId="0" borderId="20" xfId="0" applyNumberFormat="1" applyFont="1" applyBorder="1"/>
    <xf numFmtId="0" fontId="9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21" xfId="0" applyNumberFormat="1" applyBorder="1"/>
    <xf numFmtId="164" fontId="0" fillId="0" borderId="1" xfId="0" applyNumberFormat="1" applyBorder="1"/>
    <xf numFmtId="164" fontId="10" fillId="0" borderId="10" xfId="0" applyNumberFormat="1" applyFont="1" applyBorder="1"/>
    <xf numFmtId="164" fontId="0" fillId="0" borderId="25" xfId="0" applyNumberFormat="1" applyBorder="1"/>
    <xf numFmtId="0" fontId="10" fillId="0" borderId="15" xfId="0" applyFont="1" applyBorder="1"/>
    <xf numFmtId="0" fontId="7" fillId="0" borderId="10" xfId="0" applyFont="1" applyBorder="1"/>
    <xf numFmtId="0" fontId="7" fillId="0" borderId="15" xfId="0" applyFont="1" applyBorder="1"/>
    <xf numFmtId="0" fontId="11" fillId="0" borderId="23" xfId="0" applyFont="1" applyBorder="1" applyAlignment="1">
      <alignment horizontal="center"/>
    </xf>
    <xf numFmtId="0" fontId="11" fillId="0" borderId="15" xfId="0" applyFont="1" applyBorder="1"/>
    <xf numFmtId="164" fontId="11" fillId="0" borderId="10" xfId="1" applyFont="1" applyBorder="1"/>
    <xf numFmtId="164" fontId="11" fillId="0" borderId="10" xfId="0" applyNumberFormat="1" applyFont="1" applyBorder="1"/>
    <xf numFmtId="0" fontId="11" fillId="0" borderId="18" xfId="0" applyFont="1" applyBorder="1"/>
    <xf numFmtId="0" fontId="11" fillId="0" borderId="20" xfId="0" applyFont="1" applyBorder="1"/>
    <xf numFmtId="0" fontId="11" fillId="0" borderId="0" xfId="0" applyFont="1"/>
    <xf numFmtId="15" fontId="9" fillId="0" borderId="12" xfId="0" applyNumberFormat="1" applyFont="1" applyBorder="1" applyAlignment="1">
      <alignment horizontal="center"/>
    </xf>
    <xf numFmtId="164" fontId="10" fillId="0" borderId="10" xfId="1" applyFont="1" applyBorder="1"/>
    <xf numFmtId="0" fontId="12" fillId="0" borderId="1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2" xfId="0" applyFont="1" applyBorder="1"/>
    <xf numFmtId="14" fontId="12" fillId="0" borderId="12" xfId="0" applyNumberFormat="1" applyFont="1" applyBorder="1" applyAlignment="1">
      <alignment horizontal="center"/>
    </xf>
    <xf numFmtId="164" fontId="13" fillId="0" borderId="10" xfId="1" applyFont="1" applyBorder="1"/>
    <xf numFmtId="164" fontId="13" fillId="2" borderId="10" xfId="1" applyFont="1" applyFill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165" fontId="14" fillId="0" borderId="0" xfId="1" applyNumberFormat="1" applyFont="1"/>
    <xf numFmtId="0" fontId="14" fillId="0" borderId="0" xfId="0" applyFont="1" applyAlignment="1">
      <alignment horizontal="center"/>
    </xf>
    <xf numFmtId="165" fontId="14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5" fontId="14" fillId="2" borderId="0" xfId="1" applyNumberFormat="1" applyFont="1" applyFill="1"/>
    <xf numFmtId="0" fontId="17" fillId="0" borderId="0" xfId="0" applyFont="1"/>
    <xf numFmtId="0" fontId="22" fillId="0" borderId="0" xfId="0" applyFont="1"/>
    <xf numFmtId="164" fontId="17" fillId="0" borderId="0" xfId="1" applyFont="1"/>
    <xf numFmtId="9" fontId="0" fillId="0" borderId="0" xfId="3" applyFont="1"/>
    <xf numFmtId="0" fontId="19" fillId="0" borderId="0" xfId="0" applyFont="1" applyAlignment="1">
      <alignment vertical="center"/>
    </xf>
    <xf numFmtId="49" fontId="16" fillId="0" borderId="0" xfId="0" applyNumberFormat="1" applyFont="1" applyAlignment="1">
      <alignment vertical="top"/>
    </xf>
    <xf numFmtId="164" fontId="17" fillId="0" borderId="0" xfId="1" applyFont="1" applyBorder="1"/>
    <xf numFmtId="0" fontId="0" fillId="4" borderId="0" xfId="0" applyFill="1"/>
    <xf numFmtId="14" fontId="0" fillId="4" borderId="0" xfId="0" applyNumberFormat="1" applyFill="1"/>
    <xf numFmtId="2" fontId="0" fillId="4" borderId="0" xfId="0" applyNumberFormat="1" applyFill="1"/>
    <xf numFmtId="164" fontId="0" fillId="4" borderId="0" xfId="1" applyFont="1" applyFill="1"/>
    <xf numFmtId="9" fontId="0" fillId="4" borderId="0" xfId="3" applyFont="1" applyFill="1"/>
    <xf numFmtId="0" fontId="8" fillId="0" borderId="0" xfId="0" applyFont="1"/>
    <xf numFmtId="2" fontId="0" fillId="0" borderId="0" xfId="0" applyNumberFormat="1"/>
    <xf numFmtId="14" fontId="0" fillId="0" borderId="0" xfId="0" applyNumberFormat="1"/>
    <xf numFmtId="0" fontId="25" fillId="0" borderId="0" xfId="0" applyFont="1"/>
    <xf numFmtId="0" fontId="30" fillId="0" borderId="0" xfId="0" applyFont="1"/>
    <xf numFmtId="0" fontId="27" fillId="0" borderId="0" xfId="0" applyFont="1"/>
    <xf numFmtId="43" fontId="27" fillId="0" borderId="0" xfId="0" applyNumberFormat="1" applyFont="1"/>
    <xf numFmtId="0" fontId="27" fillId="0" borderId="0" xfId="0" applyFont="1" applyAlignment="1">
      <alignment horizontal="center"/>
    </xf>
    <xf numFmtId="164" fontId="27" fillId="0" borderId="0" xfId="1" applyFont="1"/>
    <xf numFmtId="0" fontId="27" fillId="0" borderId="11" xfId="0" applyFont="1" applyBorder="1"/>
    <xf numFmtId="0" fontId="27" fillId="0" borderId="12" xfId="0" applyFont="1" applyBorder="1"/>
    <xf numFmtId="43" fontId="27" fillId="0" borderId="12" xfId="0" applyNumberFormat="1" applyFont="1" applyBorder="1"/>
    <xf numFmtId="0" fontId="27" fillId="0" borderId="12" xfId="0" applyFont="1" applyBorder="1" applyAlignment="1">
      <alignment horizontal="center"/>
    </xf>
    <xf numFmtId="164" fontId="27" fillId="0" borderId="12" xfId="1" applyFont="1" applyBorder="1"/>
    <xf numFmtId="0" fontId="27" fillId="0" borderId="22" xfId="0" applyFont="1" applyBorder="1"/>
    <xf numFmtId="0" fontId="31" fillId="0" borderId="23" xfId="0" applyFont="1" applyBorder="1"/>
    <xf numFmtId="0" fontId="27" fillId="0" borderId="10" xfId="0" applyFont="1" applyBorder="1"/>
    <xf numFmtId="43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164" fontId="28" fillId="0" borderId="10" xfId="1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7" fillId="0" borderId="23" xfId="0" applyFont="1" applyBorder="1"/>
    <xf numFmtId="43" fontId="27" fillId="0" borderId="10" xfId="0" applyNumberFormat="1" applyFont="1" applyBorder="1"/>
    <xf numFmtId="0" fontId="27" fillId="0" borderId="10" xfId="0" applyFont="1" applyBorder="1" applyAlignment="1">
      <alignment horizontal="center"/>
    </xf>
    <xf numFmtId="164" fontId="27" fillId="0" borderId="10" xfId="1" applyFont="1" applyBorder="1"/>
    <xf numFmtId="0" fontId="27" fillId="0" borderId="20" xfId="0" applyFont="1" applyBorder="1"/>
    <xf numFmtId="0" fontId="28" fillId="0" borderId="23" xfId="0" applyFont="1" applyBorder="1"/>
    <xf numFmtId="0" fontId="27" fillId="0" borderId="23" xfId="0" applyFont="1" applyBorder="1" applyAlignment="1">
      <alignment vertical="center" wrapText="1"/>
    </xf>
    <xf numFmtId="0" fontId="27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164" fontId="27" fillId="0" borderId="10" xfId="1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43" fontId="27" fillId="0" borderId="15" xfId="0" applyNumberFormat="1" applyFont="1" applyBorder="1"/>
    <xf numFmtId="164" fontId="27" fillId="0" borderId="15" xfId="1" applyFont="1" applyBorder="1"/>
    <xf numFmtId="164" fontId="27" fillId="0" borderId="14" xfId="1" applyFont="1" applyBorder="1" applyAlignment="1">
      <alignment vertical="center"/>
    </xf>
    <xf numFmtId="43" fontId="27" fillId="0" borderId="14" xfId="0" applyNumberFormat="1" applyFont="1" applyBorder="1" applyAlignment="1">
      <alignment vertical="center"/>
    </xf>
    <xf numFmtId="0" fontId="27" fillId="0" borderId="23" xfId="0" applyFont="1" applyBorder="1" applyAlignment="1">
      <alignment horizontal="right"/>
    </xf>
    <xf numFmtId="43" fontId="28" fillId="0" borderId="31" xfId="0" applyNumberFormat="1" applyFont="1" applyBorder="1"/>
    <xf numFmtId="43" fontId="28" fillId="0" borderId="10" xfId="0" applyNumberFormat="1" applyFont="1" applyBorder="1"/>
    <xf numFmtId="164" fontId="28" fillId="0" borderId="10" xfId="1" applyFont="1" applyBorder="1"/>
    <xf numFmtId="43" fontId="22" fillId="0" borderId="0" xfId="0" applyNumberFormat="1" applyFont="1"/>
    <xf numFmtId="43" fontId="27" fillId="0" borderId="32" xfId="0" applyNumberFormat="1" applyFont="1" applyBorder="1"/>
    <xf numFmtId="0" fontId="29" fillId="0" borderId="23" xfId="0" applyFont="1" applyBorder="1"/>
    <xf numFmtId="0" fontId="29" fillId="0" borderId="10" xfId="0" applyFont="1" applyBorder="1"/>
    <xf numFmtId="43" fontId="29" fillId="0" borderId="10" xfId="0" applyNumberFormat="1" applyFont="1" applyBorder="1"/>
    <xf numFmtId="0" fontId="29" fillId="0" borderId="10" xfId="0" applyFont="1" applyBorder="1" applyAlignment="1">
      <alignment horizontal="center"/>
    </xf>
    <xf numFmtId="43" fontId="29" fillId="0" borderId="20" xfId="0" applyNumberFormat="1" applyFont="1" applyBorder="1"/>
    <xf numFmtId="0" fontId="29" fillId="0" borderId="24" xfId="0" applyFont="1" applyBorder="1"/>
    <xf numFmtId="0" fontId="29" fillId="0" borderId="15" xfId="0" applyFont="1" applyBorder="1"/>
    <xf numFmtId="43" fontId="29" fillId="0" borderId="15" xfId="0" applyNumberFormat="1" applyFont="1" applyBorder="1"/>
    <xf numFmtId="0" fontId="29" fillId="0" borderId="15" xfId="0" applyFont="1" applyBorder="1" applyAlignment="1">
      <alignment horizontal="center"/>
    </xf>
    <xf numFmtId="43" fontId="29" fillId="0" borderId="35" xfId="0" applyNumberFormat="1" applyFont="1" applyBorder="1"/>
    <xf numFmtId="0" fontId="25" fillId="0" borderId="24" xfId="0" applyFont="1" applyBorder="1"/>
    <xf numFmtId="0" fontId="25" fillId="0" borderId="15" xfId="0" applyFont="1" applyBorder="1"/>
    <xf numFmtId="43" fontId="25" fillId="0" borderId="15" xfId="0" applyNumberFormat="1" applyFont="1" applyBorder="1"/>
    <xf numFmtId="0" fontId="25" fillId="0" borderId="15" xfId="0" applyFont="1" applyBorder="1" applyAlignment="1">
      <alignment horizontal="center"/>
    </xf>
    <xf numFmtId="43" fontId="25" fillId="0" borderId="35" xfId="0" applyNumberFormat="1" applyFont="1" applyBorder="1"/>
    <xf numFmtId="0" fontId="24" fillId="0" borderId="0" xfId="0" applyFont="1"/>
    <xf numFmtId="43" fontId="28" fillId="5" borderId="31" xfId="0" applyNumberFormat="1" applyFont="1" applyFill="1" applyBorder="1"/>
    <xf numFmtId="0" fontId="27" fillId="0" borderId="13" xfId="0" applyFont="1" applyBorder="1"/>
    <xf numFmtId="0" fontId="27" fillId="0" borderId="14" xfId="0" applyFont="1" applyBorder="1"/>
    <xf numFmtId="43" fontId="27" fillId="0" borderId="14" xfId="0" applyNumberFormat="1" applyFont="1" applyBorder="1"/>
    <xf numFmtId="0" fontId="27" fillId="0" borderId="14" xfId="0" applyFont="1" applyBorder="1" applyAlignment="1">
      <alignment horizontal="center"/>
    </xf>
    <xf numFmtId="164" fontId="27" fillId="0" borderId="14" xfId="1" applyFont="1" applyBorder="1"/>
    <xf numFmtId="0" fontId="27" fillId="0" borderId="21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2" xfId="0" applyFont="1" applyBorder="1"/>
    <xf numFmtId="0" fontId="22" fillId="0" borderId="10" xfId="0" applyFont="1" applyBorder="1"/>
    <xf numFmtId="0" fontId="22" fillId="0" borderId="20" xfId="0" applyFont="1" applyBorder="1"/>
    <xf numFmtId="0" fontId="22" fillId="0" borderId="23" xfId="0" applyFont="1" applyBorder="1"/>
    <xf numFmtId="164" fontId="22" fillId="0" borderId="0" xfId="1" applyFont="1"/>
    <xf numFmtId="0" fontId="32" fillId="0" borderId="10" xfId="0" applyFont="1" applyBorder="1" applyAlignment="1">
      <alignment horizontal="center"/>
    </xf>
    <xf numFmtId="164" fontId="32" fillId="0" borderId="10" xfId="1" applyFont="1" applyBorder="1" applyAlignment="1">
      <alignment horizontal="right" vertical="center"/>
    </xf>
    <xf numFmtId="0" fontId="32" fillId="0" borderId="20" xfId="0" applyFont="1" applyBorder="1" applyAlignment="1">
      <alignment horizontal="center"/>
    </xf>
    <xf numFmtId="16" fontId="32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right"/>
    </xf>
    <xf numFmtId="0" fontId="33" fillId="0" borderId="10" xfId="0" applyFont="1" applyBorder="1" applyAlignment="1">
      <alignment horizontal="right"/>
    </xf>
    <xf numFmtId="43" fontId="28" fillId="0" borderId="14" xfId="0" applyNumberFormat="1" applyFont="1" applyBorder="1"/>
    <xf numFmtId="0" fontId="21" fillId="0" borderId="23" xfId="0" applyFont="1" applyBorder="1" applyAlignment="1">
      <alignment horizontal="right"/>
    </xf>
    <xf numFmtId="0" fontId="33" fillId="0" borderId="10" xfId="0" applyFont="1" applyBorder="1"/>
    <xf numFmtId="0" fontId="22" fillId="0" borderId="32" xfId="0" applyFont="1" applyBorder="1"/>
    <xf numFmtId="0" fontId="33" fillId="0" borderId="10" xfId="0" applyFont="1" applyBorder="1" applyAlignment="1">
      <alignment horizontal="center"/>
    </xf>
    <xf numFmtId="0" fontId="21" fillId="0" borderId="24" xfId="0" applyFont="1" applyBorder="1" applyAlignment="1">
      <alignment horizontal="right"/>
    </xf>
    <xf numFmtId="0" fontId="22" fillId="0" borderId="15" xfId="0" applyFont="1" applyBorder="1"/>
    <xf numFmtId="43" fontId="28" fillId="0" borderId="36" xfId="0" applyNumberFormat="1" applyFont="1" applyBorder="1"/>
    <xf numFmtId="0" fontId="22" fillId="0" borderId="35" xfId="0" applyFont="1" applyBorder="1"/>
    <xf numFmtId="43" fontId="28" fillId="5" borderId="10" xfId="0" applyNumberFormat="1" applyFont="1" applyFill="1" applyBorder="1"/>
    <xf numFmtId="0" fontId="22" fillId="0" borderId="13" xfId="0" applyFont="1" applyBorder="1"/>
    <xf numFmtId="0" fontId="22" fillId="0" borderId="14" xfId="0" applyFont="1" applyBorder="1"/>
    <xf numFmtId="0" fontId="22" fillId="0" borderId="21" xfId="0" applyFont="1" applyBorder="1"/>
    <xf numFmtId="165" fontId="25" fillId="0" borderId="0" xfId="1" applyNumberFormat="1" applyFont="1"/>
    <xf numFmtId="165" fontId="25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left"/>
    </xf>
    <xf numFmtId="165" fontId="25" fillId="2" borderId="0" xfId="1" applyNumberFormat="1" applyFont="1" applyFill="1"/>
    <xf numFmtId="164" fontId="25" fillId="0" borderId="0" xfId="1" applyFont="1"/>
    <xf numFmtId="0" fontId="25" fillId="0" borderId="0" xfId="0" applyFont="1" applyAlignment="1">
      <alignment horizontal="center" vertical="center" wrapText="1"/>
    </xf>
    <xf numFmtId="164" fontId="25" fillId="0" borderId="0" xfId="1" applyFont="1" applyAlignment="1">
      <alignment horizontal="center" vertical="center" wrapText="1"/>
    </xf>
    <xf numFmtId="0" fontId="26" fillId="0" borderId="0" xfId="0" applyFont="1"/>
    <xf numFmtId="164" fontId="25" fillId="0" borderId="0" xfId="1" applyFont="1" applyAlignment="1">
      <alignment horizontal="right"/>
    </xf>
    <xf numFmtId="164" fontId="26" fillId="0" borderId="0" xfId="1" applyFont="1"/>
    <xf numFmtId="164" fontId="26" fillId="0" borderId="27" xfId="1" applyFont="1" applyBorder="1"/>
    <xf numFmtId="164" fontId="26" fillId="0" borderId="0" xfId="1" applyFont="1" applyAlignment="1">
      <alignment horizontal="center"/>
    </xf>
    <xf numFmtId="165" fontId="25" fillId="0" borderId="0" xfId="1" applyNumberFormat="1" applyFont="1" applyAlignment="1">
      <alignment horizontal="right"/>
    </xf>
    <xf numFmtId="164" fontId="34" fillId="0" borderId="0" xfId="1" applyFont="1"/>
    <xf numFmtId="164" fontId="25" fillId="0" borderId="0" xfId="0" applyNumberFormat="1" applyFont="1"/>
    <xf numFmtId="0" fontId="25" fillId="0" borderId="0" xfId="0" applyFont="1" applyAlignment="1">
      <alignment horizontal="right"/>
    </xf>
    <xf numFmtId="0" fontId="15" fillId="0" borderId="10" xfId="0" applyFont="1" applyBorder="1" applyAlignment="1">
      <alignment horizontal="center"/>
    </xf>
    <xf numFmtId="49" fontId="22" fillId="0" borderId="0" xfId="0" applyNumberFormat="1" applyFont="1" applyAlignment="1">
      <alignment horizontal="center" vertical="center"/>
    </xf>
    <xf numFmtId="164" fontId="22" fillId="0" borderId="0" xfId="1" applyFont="1" applyFill="1" applyAlignment="1">
      <alignment horizontal="center" vertical="center"/>
    </xf>
    <xf numFmtId="164" fontId="22" fillId="0" borderId="34" xfId="1" applyFont="1" applyFill="1" applyBorder="1" applyAlignment="1">
      <alignment horizontal="center" vertical="center"/>
    </xf>
    <xf numFmtId="0" fontId="19" fillId="0" borderId="0" xfId="0" applyFont="1"/>
    <xf numFmtId="165" fontId="19" fillId="0" borderId="0" xfId="1" applyNumberFormat="1" applyFont="1" applyAlignment="1">
      <alignment vertical="center"/>
    </xf>
    <xf numFmtId="17" fontId="19" fillId="0" borderId="0" xfId="0" applyNumberFormat="1" applyFont="1" applyAlignment="1">
      <alignment vertical="center"/>
    </xf>
    <xf numFmtId="164" fontId="16" fillId="0" borderId="0" xfId="1" applyFont="1" applyBorder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top" indent="2"/>
    </xf>
    <xf numFmtId="164" fontId="19" fillId="0" borderId="0" xfId="1" applyFont="1" applyBorder="1"/>
    <xf numFmtId="164" fontId="16" fillId="0" borderId="39" xfId="1" applyFont="1" applyBorder="1" applyAlignment="1">
      <alignment horizontal="center" vertical="top"/>
    </xf>
    <xf numFmtId="164" fontId="5" fillId="0" borderId="39" xfId="1" applyFont="1" applyBorder="1" applyAlignment="1">
      <alignment horizontal="right" vertical="top"/>
    </xf>
    <xf numFmtId="164" fontId="16" fillId="0" borderId="27" xfId="1" applyFont="1" applyBorder="1" applyAlignment="1">
      <alignment horizontal="right" vertical="top"/>
    </xf>
    <xf numFmtId="17" fontId="17" fillId="0" borderId="36" xfId="0" applyNumberFormat="1" applyFont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165" fontId="17" fillId="0" borderId="39" xfId="1" applyNumberFormat="1" applyFont="1" applyFill="1" applyBorder="1" applyAlignment="1">
      <alignment horizontal="center" vertical="center"/>
    </xf>
    <xf numFmtId="17" fontId="17" fillId="0" borderId="36" xfId="0" applyNumberFormat="1" applyFont="1" applyBorder="1" applyAlignment="1">
      <alignment vertical="center"/>
    </xf>
    <xf numFmtId="165" fontId="17" fillId="0" borderId="0" xfId="1" applyNumberFormat="1" applyFont="1" applyFill="1" applyBorder="1" applyAlignment="1">
      <alignment vertical="center"/>
    </xf>
    <xf numFmtId="165" fontId="17" fillId="0" borderId="39" xfId="1" applyNumberFormat="1" applyFont="1" applyFill="1" applyBorder="1" applyAlignment="1">
      <alignment vertical="center"/>
    </xf>
    <xf numFmtId="17" fontId="36" fillId="0" borderId="10" xfId="0" applyNumberFormat="1" applyFont="1" applyBorder="1" applyAlignment="1">
      <alignment horizontal="right" vertical="center"/>
    </xf>
    <xf numFmtId="165" fontId="36" fillId="0" borderId="27" xfId="1" applyNumberFormat="1" applyFont="1" applyFill="1" applyBorder="1" applyAlignment="1">
      <alignment vertical="center"/>
    </xf>
    <xf numFmtId="165" fontId="36" fillId="0" borderId="44" xfId="1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49" fontId="5" fillId="0" borderId="39" xfId="0" applyNumberFormat="1" applyFont="1" applyBorder="1" applyAlignment="1">
      <alignment horizontal="center" vertical="center"/>
    </xf>
    <xf numFmtId="164" fontId="5" fillId="0" borderId="39" xfId="1" applyFont="1" applyBorder="1" applyAlignment="1">
      <alignment horizontal="right" vertical="center"/>
    </xf>
    <xf numFmtId="164" fontId="16" fillId="0" borderId="44" xfId="1" applyFont="1" applyFill="1" applyBorder="1" applyAlignment="1">
      <alignment horizontal="right" vertical="center"/>
    </xf>
    <xf numFmtId="0" fontId="19" fillId="0" borderId="30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49" fontId="16" fillId="0" borderId="36" xfId="0" applyNumberFormat="1" applyFont="1" applyBorder="1" applyAlignment="1">
      <alignment horizontal="left" vertical="top" indent="2"/>
    </xf>
    <xf numFmtId="49" fontId="16" fillId="0" borderId="10" xfId="0" applyNumberFormat="1" applyFont="1" applyBorder="1" applyAlignment="1">
      <alignment horizontal="left" vertical="top" indent="2"/>
    </xf>
    <xf numFmtId="49" fontId="21" fillId="0" borderId="15" xfId="0" applyNumberFormat="1" applyFont="1" applyBorder="1" applyAlignment="1">
      <alignment horizontal="left" vertical="top" indent="2"/>
    </xf>
    <xf numFmtId="49" fontId="21" fillId="0" borderId="36" xfId="0" applyNumberFormat="1" applyFont="1" applyBorder="1" applyAlignment="1">
      <alignment horizontal="left" vertical="top" indent="2"/>
    </xf>
    <xf numFmtId="164" fontId="21" fillId="0" borderId="39" xfId="1" applyFont="1" applyBorder="1" applyAlignment="1">
      <alignment horizontal="center" vertical="top"/>
    </xf>
    <xf numFmtId="49" fontId="21" fillId="0" borderId="34" xfId="0" applyNumberFormat="1" applyFont="1" applyBorder="1" applyAlignment="1">
      <alignment horizontal="left" vertical="top" indent="2"/>
    </xf>
    <xf numFmtId="164" fontId="21" fillId="0" borderId="4" xfId="1" applyFont="1" applyBorder="1" applyAlignment="1">
      <alignment horizontal="center" vertical="top"/>
    </xf>
    <xf numFmtId="164" fontId="22" fillId="0" borderId="4" xfId="1" applyFont="1" applyBorder="1" applyAlignment="1">
      <alignment horizontal="center" vertical="top"/>
    </xf>
    <xf numFmtId="164" fontId="21" fillId="0" borderId="41" xfId="1" applyFont="1" applyBorder="1" applyAlignment="1">
      <alignment horizontal="center" vertical="top"/>
    </xf>
    <xf numFmtId="0" fontId="18" fillId="0" borderId="29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9" fontId="16" fillId="0" borderId="36" xfId="0" applyNumberFormat="1" applyFont="1" applyBorder="1" applyAlignment="1">
      <alignment horizontal="left" vertical="center"/>
    </xf>
    <xf numFmtId="49" fontId="5" fillId="0" borderId="36" xfId="0" applyNumberFormat="1" applyFont="1" applyBorder="1" applyAlignment="1">
      <alignment vertical="center"/>
    </xf>
    <xf numFmtId="49" fontId="16" fillId="0" borderId="10" xfId="0" applyNumberFormat="1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167" fontId="16" fillId="0" borderId="0" xfId="0" applyNumberFormat="1" applyFont="1" applyAlignment="1">
      <alignment horizontal="right" vertical="top"/>
    </xf>
    <xf numFmtId="0" fontId="38" fillId="0" borderId="0" xfId="0" applyFont="1" applyAlignment="1">
      <alignment vertical="center"/>
    </xf>
    <xf numFmtId="49" fontId="23" fillId="0" borderId="0" xfId="0" applyNumberFormat="1" applyFont="1" applyAlignment="1">
      <alignment horizontal="left" vertical="top" indent="2"/>
    </xf>
    <xf numFmtId="167" fontId="23" fillId="0" borderId="0" xfId="0" applyNumberFormat="1" applyFont="1" applyAlignment="1">
      <alignment horizontal="right" vertical="top"/>
    </xf>
    <xf numFmtId="49" fontId="16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9" xfId="0" quotePrefix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41" xfId="0" applyFont="1" applyBorder="1" applyAlignment="1">
      <alignment vertical="center"/>
    </xf>
    <xf numFmtId="0" fontId="18" fillId="0" borderId="41" xfId="0" applyFont="1" applyBorder="1" applyAlignment="1">
      <alignment horizontal="center" vertical="center"/>
    </xf>
    <xf numFmtId="0" fontId="5" fillId="0" borderId="0" xfId="0" applyFont="1"/>
    <xf numFmtId="0" fontId="5" fillId="0" borderId="19" xfId="0" applyFont="1" applyBorder="1"/>
    <xf numFmtId="166" fontId="5" fillId="0" borderId="28" xfId="1" applyNumberFormat="1" applyFont="1" applyBorder="1"/>
    <xf numFmtId="0" fontId="5" fillId="0" borderId="28" xfId="0" applyFont="1" applyBorder="1"/>
    <xf numFmtId="164" fontId="5" fillId="0" borderId="40" xfId="1" applyFont="1" applyBorder="1"/>
    <xf numFmtId="0" fontId="16" fillId="0" borderId="29" xfId="0" applyFont="1" applyBorder="1"/>
    <xf numFmtId="166" fontId="16" fillId="0" borderId="0" xfId="1" applyNumberFormat="1" applyFont="1" applyBorder="1"/>
    <xf numFmtId="0" fontId="16" fillId="0" borderId="0" xfId="0" applyFont="1"/>
    <xf numFmtId="164" fontId="16" fillId="0" borderId="41" xfId="1" applyFont="1" applyBorder="1" applyAlignment="1">
      <alignment horizontal="center"/>
    </xf>
    <xf numFmtId="0" fontId="5" fillId="0" borderId="29" xfId="0" applyFont="1" applyBorder="1"/>
    <xf numFmtId="166" fontId="5" fillId="0" borderId="0" xfId="1" applyNumberFormat="1" applyFont="1" applyBorder="1"/>
    <xf numFmtId="164" fontId="5" fillId="0" borderId="39" xfId="1" applyFont="1" applyBorder="1"/>
    <xf numFmtId="164" fontId="16" fillId="0" borderId="39" xfId="1" applyFont="1" applyBorder="1"/>
    <xf numFmtId="164" fontId="16" fillId="0" borderId="40" xfId="1" applyFont="1" applyBorder="1"/>
    <xf numFmtId="0" fontId="16" fillId="0" borderId="29" xfId="0" applyFont="1" applyBorder="1" applyAlignment="1">
      <alignment horizontal="right"/>
    </xf>
    <xf numFmtId="166" fontId="5" fillId="0" borderId="0" xfId="1" applyNumberFormat="1" applyFont="1" applyBorder="1" applyAlignment="1">
      <alignment horizontal="right"/>
    </xf>
    <xf numFmtId="164" fontId="16" fillId="0" borderId="38" xfId="1" applyFont="1" applyBorder="1"/>
    <xf numFmtId="9" fontId="16" fillId="3" borderId="0" xfId="0" applyNumberFormat="1" applyFont="1" applyFill="1"/>
    <xf numFmtId="164" fontId="16" fillId="3" borderId="38" xfId="1" applyFont="1" applyFill="1" applyBorder="1" applyAlignment="1"/>
    <xf numFmtId="0" fontId="5" fillId="0" borderId="30" xfId="0" applyFont="1" applyBorder="1"/>
    <xf numFmtId="166" fontId="5" fillId="0" borderId="26" xfId="1" applyNumberFormat="1" applyFont="1" applyBorder="1"/>
    <xf numFmtId="0" fontId="5" fillId="0" borderId="26" xfId="0" applyFont="1" applyBorder="1"/>
    <xf numFmtId="164" fontId="5" fillId="0" borderId="43" xfId="1" applyFont="1" applyBorder="1"/>
    <xf numFmtId="164" fontId="5" fillId="0" borderId="0" xfId="1" applyFont="1" applyBorder="1"/>
    <xf numFmtId="14" fontId="5" fillId="0" borderId="0" xfId="1" applyNumberFormat="1" applyFont="1" applyBorder="1"/>
    <xf numFmtId="14" fontId="5" fillId="0" borderId="0" xfId="0" applyNumberFormat="1" applyFont="1"/>
    <xf numFmtId="166" fontId="17" fillId="0" borderId="0" xfId="1" applyNumberFormat="1" applyFont="1" applyBorder="1"/>
    <xf numFmtId="164" fontId="5" fillId="0" borderId="0" xfId="1" applyFont="1" applyBorder="1" applyAlignment="1">
      <alignment horizontal="right"/>
    </xf>
    <xf numFmtId="1" fontId="5" fillId="0" borderId="0" xfId="0" applyNumberFormat="1" applyFont="1"/>
    <xf numFmtId="0" fontId="5" fillId="0" borderId="29" xfId="0" applyFont="1" applyBorder="1" applyAlignment="1">
      <alignment horizontal="right"/>
    </xf>
    <xf numFmtId="9" fontId="16" fillId="3" borderId="26" xfId="0" applyNumberFormat="1" applyFont="1" applyFill="1" applyBorder="1"/>
    <xf numFmtId="164" fontId="16" fillId="3" borderId="44" xfId="1" applyFont="1" applyFill="1" applyBorder="1" applyAlignment="1"/>
    <xf numFmtId="166" fontId="5" fillId="0" borderId="0" xfId="1" applyNumberFormat="1" applyFont="1"/>
    <xf numFmtId="164" fontId="5" fillId="0" borderId="0" xfId="1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7" fillId="0" borderId="0" xfId="1" applyFont="1" applyFill="1" applyAlignment="1">
      <alignment horizontal="center" vertical="center"/>
    </xf>
    <xf numFmtId="49" fontId="21" fillId="0" borderId="28" xfId="0" applyNumberFormat="1" applyFont="1" applyBorder="1" applyAlignment="1">
      <alignment horizontal="left" vertical="top" indent="2"/>
    </xf>
    <xf numFmtId="49" fontId="21" fillId="0" borderId="4" xfId="0" applyNumberFormat="1" applyFont="1" applyBorder="1" applyAlignment="1">
      <alignment horizontal="left" vertical="top" indent="2"/>
    </xf>
    <xf numFmtId="49" fontId="21" fillId="0" borderId="19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37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49" fontId="21" fillId="0" borderId="34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center" vertical="center" wrapText="1"/>
    </xf>
    <xf numFmtId="49" fontId="21" fillId="0" borderId="41" xfId="0" applyNumberFormat="1" applyFont="1" applyBorder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164" fontId="36" fillId="0" borderId="27" xfId="1" applyFont="1" applyBorder="1"/>
    <xf numFmtId="43" fontId="17" fillId="0" borderId="0" xfId="0" applyNumberFormat="1" applyFont="1" applyAlignment="1">
      <alignment vertical="center"/>
    </xf>
    <xf numFmtId="164" fontId="21" fillId="0" borderId="0" xfId="1" applyFont="1" applyBorder="1" applyAlignment="1">
      <alignment horizontal="center" vertical="top"/>
    </xf>
    <xf numFmtId="0" fontId="18" fillId="0" borderId="40" xfId="0" applyFont="1" applyBorder="1" applyAlignment="1">
      <alignment horizontal="center" vertical="center"/>
    </xf>
    <xf numFmtId="164" fontId="41" fillId="0" borderId="27" xfId="1" applyFont="1" applyBorder="1" applyAlignment="1">
      <alignment horizontal="right" vertical="top"/>
    </xf>
    <xf numFmtId="164" fontId="41" fillId="0" borderId="0" xfId="1" applyFont="1" applyAlignment="1">
      <alignment horizontal="left" vertical="top" indent="2"/>
    </xf>
    <xf numFmtId="164" fontId="41" fillId="0" borderId="0" xfId="1" applyFont="1" applyAlignment="1">
      <alignment horizontal="right" vertical="top"/>
    </xf>
    <xf numFmtId="164" fontId="41" fillId="0" borderId="26" xfId="1" applyFont="1" applyBorder="1" applyAlignment="1">
      <alignment horizontal="right" vertical="top"/>
    </xf>
    <xf numFmtId="164" fontId="40" fillId="0" borderId="0" xfId="1" applyFont="1" applyAlignment="1">
      <alignment vertical="top"/>
    </xf>
    <xf numFmtId="164" fontId="40" fillId="0" borderId="27" xfId="1" applyFont="1" applyBorder="1" applyAlignment="1">
      <alignment horizontal="left" vertical="top" indent="2"/>
    </xf>
    <xf numFmtId="164" fontId="40" fillId="0" borderId="27" xfId="1" applyFont="1" applyBorder="1" applyAlignment="1">
      <alignment horizontal="right" vertical="top"/>
    </xf>
    <xf numFmtId="164" fontId="22" fillId="0" borderId="0" xfId="1" applyFont="1" applyFill="1" applyBorder="1" applyAlignment="1">
      <alignment horizontal="center" vertical="center"/>
    </xf>
    <xf numFmtId="164" fontId="18" fillId="0" borderId="40" xfId="1" applyFont="1" applyFill="1" applyBorder="1" applyAlignment="1" applyProtection="1">
      <alignment horizontal="center" vertical="center"/>
    </xf>
    <xf numFmtId="164" fontId="18" fillId="0" borderId="39" xfId="1" applyFont="1" applyFill="1" applyBorder="1" applyAlignment="1" applyProtection="1">
      <alignment horizontal="center" vertical="center"/>
    </xf>
    <xf numFmtId="164" fontId="18" fillId="0" borderId="41" xfId="1" applyFont="1" applyFill="1" applyBorder="1" applyAlignment="1">
      <alignment vertical="center"/>
    </xf>
    <xf numFmtId="164" fontId="17" fillId="0" borderId="0" xfId="1" applyFont="1" applyFill="1" applyBorder="1" applyAlignment="1">
      <alignment vertical="center"/>
    </xf>
    <xf numFmtId="164" fontId="4" fillId="0" borderId="39" xfId="1" applyFont="1" applyBorder="1" applyAlignment="1">
      <alignment horizontal="right" vertical="top"/>
    </xf>
    <xf numFmtId="164" fontId="17" fillId="0" borderId="10" xfId="1" applyFont="1" applyFill="1" applyBorder="1" applyAlignment="1">
      <alignment vertical="center"/>
    </xf>
    <xf numFmtId="164" fontId="4" fillId="0" borderId="10" xfId="1" applyFont="1" applyBorder="1" applyAlignment="1">
      <alignment horizontal="right" vertical="top"/>
    </xf>
    <xf numFmtId="164" fontId="17" fillId="0" borderId="10" xfId="1" applyFont="1" applyFill="1" applyBorder="1" applyAlignment="1" applyProtection="1">
      <alignment vertical="center"/>
    </xf>
    <xf numFmtId="164" fontId="16" fillId="0" borderId="10" xfId="1" applyFont="1" applyBorder="1" applyAlignment="1">
      <alignment horizontal="right" vertical="top"/>
    </xf>
    <xf numFmtId="43" fontId="17" fillId="0" borderId="10" xfId="0" applyNumberFormat="1" applyFont="1" applyBorder="1" applyAlignment="1">
      <alignment vertical="center"/>
    </xf>
    <xf numFmtId="164" fontId="17" fillId="0" borderId="32" xfId="1" applyFont="1" applyFill="1" applyBorder="1" applyAlignment="1">
      <alignment vertical="center"/>
    </xf>
    <xf numFmtId="164" fontId="4" fillId="0" borderId="32" xfId="1" applyFont="1" applyBorder="1" applyAlignment="1">
      <alignment horizontal="right" vertical="top"/>
    </xf>
    <xf numFmtId="164" fontId="17" fillId="0" borderId="32" xfId="1" applyFont="1" applyFill="1" applyBorder="1" applyAlignment="1" applyProtection="1">
      <alignment vertical="center"/>
    </xf>
    <xf numFmtId="0" fontId="36" fillId="0" borderId="10" xfId="0" applyFont="1" applyBorder="1" applyAlignment="1">
      <alignment vertical="center"/>
    </xf>
    <xf numFmtId="9" fontId="19" fillId="0" borderId="39" xfId="3" applyFont="1" applyFill="1" applyBorder="1" applyAlignment="1">
      <alignment vertical="center"/>
    </xf>
    <xf numFmtId="9" fontId="18" fillId="0" borderId="40" xfId="3" applyFont="1" applyFill="1" applyBorder="1" applyAlignment="1" applyProtection="1">
      <alignment horizontal="center" vertical="center"/>
    </xf>
    <xf numFmtId="9" fontId="18" fillId="0" borderId="39" xfId="3" applyFont="1" applyFill="1" applyBorder="1" applyAlignment="1" applyProtection="1">
      <alignment horizontal="center" vertical="center"/>
    </xf>
    <xf numFmtId="9" fontId="18" fillId="0" borderId="39" xfId="3" quotePrefix="1" applyFont="1" applyFill="1" applyBorder="1" applyAlignment="1" applyProtection="1">
      <alignment horizontal="center" vertical="center"/>
    </xf>
    <xf numFmtId="9" fontId="18" fillId="0" borderId="41" xfId="3" applyFont="1" applyFill="1" applyBorder="1" applyAlignment="1" applyProtection="1">
      <alignment horizontal="center" vertical="center"/>
    </xf>
    <xf numFmtId="9" fontId="17" fillId="0" borderId="0" xfId="3" applyFont="1" applyFill="1" applyAlignment="1">
      <alignment vertical="center"/>
    </xf>
    <xf numFmtId="9" fontId="22" fillId="0" borderId="0" xfId="3" applyFont="1" applyFill="1" applyBorder="1" applyAlignment="1">
      <alignment horizontal="center" vertical="center"/>
    </xf>
    <xf numFmtId="9" fontId="17" fillId="0" borderId="32" xfId="3" applyFont="1" applyFill="1" applyBorder="1" applyAlignment="1" applyProtection="1">
      <alignment horizontal="center" vertical="center"/>
    </xf>
    <xf numFmtId="9" fontId="17" fillId="0" borderId="10" xfId="3" applyFont="1" applyFill="1" applyBorder="1" applyAlignment="1" applyProtection="1">
      <alignment horizontal="center" vertical="center"/>
    </xf>
    <xf numFmtId="9" fontId="17" fillId="0" borderId="0" xfId="3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horizontal="left" vertical="top" indent="2"/>
    </xf>
    <xf numFmtId="9" fontId="16" fillId="0" borderId="10" xfId="3" applyFont="1" applyBorder="1" applyAlignment="1">
      <alignment horizontal="right" vertical="top"/>
    </xf>
    <xf numFmtId="49" fontId="4" fillId="0" borderId="0" xfId="0" applyNumberFormat="1" applyFont="1" applyAlignment="1">
      <alignment vertical="top"/>
    </xf>
    <xf numFmtId="167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 vertical="top" indent="2"/>
    </xf>
    <xf numFmtId="9" fontId="36" fillId="0" borderId="10" xfId="3" applyFont="1" applyFill="1" applyBorder="1" applyAlignment="1" applyProtection="1">
      <alignment horizontal="center" vertical="center"/>
    </xf>
    <xf numFmtId="49" fontId="4" fillId="0" borderId="10" xfId="0" applyNumberFormat="1" applyFont="1" applyBorder="1" applyAlignment="1">
      <alignment vertical="top"/>
    </xf>
    <xf numFmtId="164" fontId="36" fillId="0" borderId="10" xfId="1" applyFont="1" applyFill="1" applyBorder="1" applyAlignment="1" applyProtection="1">
      <alignment vertical="center"/>
    </xf>
    <xf numFmtId="0" fontId="36" fillId="0" borderId="32" xfId="0" applyFont="1" applyBorder="1" applyAlignment="1">
      <alignment vertical="center"/>
    </xf>
    <xf numFmtId="164" fontId="36" fillId="0" borderId="32" xfId="1" applyFont="1" applyFill="1" applyBorder="1" applyAlignment="1" applyProtection="1">
      <alignment horizontal="center" vertical="center"/>
    </xf>
    <xf numFmtId="9" fontId="36" fillId="0" borderId="32" xfId="3" applyFont="1" applyFill="1" applyBorder="1" applyAlignment="1" applyProtection="1">
      <alignment horizontal="center" vertical="center"/>
    </xf>
    <xf numFmtId="49" fontId="4" fillId="0" borderId="36" xfId="0" applyNumberFormat="1" applyFont="1" applyBorder="1" applyAlignment="1">
      <alignment vertical="center"/>
    </xf>
    <xf numFmtId="164" fontId="4" fillId="0" borderId="0" xfId="1" applyFont="1" applyBorder="1" applyAlignment="1">
      <alignment horizontal="center" vertical="top"/>
    </xf>
    <xf numFmtId="49" fontId="4" fillId="0" borderId="36" xfId="0" applyNumberFormat="1" applyFont="1" applyBorder="1" applyAlignment="1">
      <alignment vertical="top"/>
    </xf>
    <xf numFmtId="164" fontId="4" fillId="0" borderId="0" xfId="1" applyFont="1" applyBorder="1" applyAlignment="1">
      <alignment horizontal="right" vertical="top"/>
    </xf>
    <xf numFmtId="49" fontId="4" fillId="0" borderId="36" xfId="0" applyNumberFormat="1" applyFont="1" applyBorder="1" applyAlignment="1">
      <alignment vertical="top" wrapText="1"/>
    </xf>
    <xf numFmtId="49" fontId="4" fillId="0" borderId="15" xfId="0" applyNumberFormat="1" applyFont="1" applyBorder="1" applyAlignment="1">
      <alignment vertical="top"/>
    </xf>
    <xf numFmtId="164" fontId="4" fillId="0" borderId="28" xfId="1" applyFont="1" applyBorder="1" applyAlignment="1">
      <alignment horizontal="right" vertical="top"/>
    </xf>
    <xf numFmtId="164" fontId="4" fillId="0" borderId="40" xfId="1" applyFont="1" applyBorder="1" applyAlignment="1">
      <alignment horizontal="right" vertical="top"/>
    </xf>
    <xf numFmtId="0" fontId="36" fillId="0" borderId="18" xfId="0" applyFont="1" applyBorder="1"/>
    <xf numFmtId="164" fontId="36" fillId="0" borderId="44" xfId="1" applyFont="1" applyBorder="1"/>
    <xf numFmtId="164" fontId="36" fillId="0" borderId="10" xfId="1" applyFont="1" applyBorder="1"/>
    <xf numFmtId="49" fontId="16" fillId="0" borderId="27" xfId="0" applyNumberFormat="1" applyFont="1" applyBorder="1" applyAlignment="1">
      <alignment horizontal="left" vertical="top" indent="2"/>
    </xf>
    <xf numFmtId="164" fontId="22" fillId="0" borderId="0" xfId="1" applyFont="1" applyBorder="1" applyAlignment="1">
      <alignment horizontal="center" vertical="top"/>
    </xf>
    <xf numFmtId="164" fontId="4" fillId="0" borderId="27" xfId="1" applyFont="1" applyBorder="1" applyAlignment="1">
      <alignment horizontal="right" vertical="top"/>
    </xf>
    <xf numFmtId="164" fontId="4" fillId="0" borderId="0" xfId="1" applyFont="1" applyAlignment="1">
      <alignment horizontal="right" vertical="top"/>
    </xf>
    <xf numFmtId="164" fontId="4" fillId="0" borderId="26" xfId="1" applyFont="1" applyBorder="1" applyAlignment="1">
      <alignment horizontal="right" vertical="top"/>
    </xf>
    <xf numFmtId="164" fontId="16" fillId="0" borderId="0" xfId="1" applyFont="1" applyAlignment="1">
      <alignment horizontal="right" vertical="top"/>
    </xf>
    <xf numFmtId="49" fontId="3" fillId="0" borderId="10" xfId="0" applyNumberFormat="1" applyFont="1" applyBorder="1" applyAlignment="1">
      <alignment horizontal="left" vertical="top" indent="2"/>
    </xf>
    <xf numFmtId="164" fontId="5" fillId="0" borderId="0" xfId="0" applyNumberFormat="1" applyFont="1"/>
    <xf numFmtId="0" fontId="5" fillId="0" borderId="10" xfId="0" applyFont="1" applyBorder="1"/>
    <xf numFmtId="164" fontId="16" fillId="0" borderId="10" xfId="1" applyFont="1" applyBorder="1"/>
    <xf numFmtId="0" fontId="16" fillId="0" borderId="10" xfId="0" applyFont="1" applyBorder="1"/>
    <xf numFmtId="0" fontId="2" fillId="0" borderId="10" xfId="0" applyFont="1" applyBorder="1"/>
    <xf numFmtId="164" fontId="5" fillId="0" borderId="10" xfId="1" applyFont="1" applyBorder="1"/>
    <xf numFmtId="164" fontId="5" fillId="0" borderId="10" xfId="0" applyNumberFormat="1" applyFont="1" applyBorder="1"/>
    <xf numFmtId="0" fontId="5" fillId="0" borderId="49" xfId="0" applyFont="1" applyBorder="1"/>
    <xf numFmtId="164" fontId="16" fillId="0" borderId="49" xfId="0" applyNumberFormat="1" applyFont="1" applyBorder="1"/>
    <xf numFmtId="0" fontId="42" fillId="0" borderId="19" xfId="0" applyFont="1" applyBorder="1"/>
    <xf numFmtId="0" fontId="42" fillId="0" borderId="28" xfId="0" applyFont="1" applyBorder="1"/>
    <xf numFmtId="0" fontId="43" fillId="0" borderId="28" xfId="0" applyFont="1" applyBorder="1" applyAlignment="1">
      <alignment horizontal="center"/>
    </xf>
    <xf numFmtId="0" fontId="42" fillId="0" borderId="40" xfId="0" applyFont="1" applyBorder="1"/>
    <xf numFmtId="0" fontId="42" fillId="0" borderId="29" xfId="0" applyFont="1" applyBorder="1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39" xfId="0" applyFont="1" applyBorder="1"/>
    <xf numFmtId="0" fontId="43" fillId="0" borderId="0" xfId="0" applyFont="1" applyAlignment="1">
      <alignment horizontal="center"/>
    </xf>
    <xf numFmtId="0" fontId="44" fillId="0" borderId="51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164" fontId="42" fillId="0" borderId="52" xfId="1" applyFont="1" applyFill="1" applyBorder="1"/>
    <xf numFmtId="164" fontId="42" fillId="0" borderId="0" xfId="0" applyNumberFormat="1" applyFont="1"/>
    <xf numFmtId="164" fontId="42" fillId="0" borderId="52" xfId="1" applyFont="1" applyFill="1" applyBorder="1" applyProtection="1"/>
    <xf numFmtId="0" fontId="42" fillId="0" borderId="39" xfId="0" applyFont="1" applyBorder="1" applyAlignment="1">
      <alignment horizontal="left"/>
    </xf>
    <xf numFmtId="164" fontId="42" fillId="0" borderId="0" xfId="1" applyFont="1" applyFill="1" applyBorder="1" applyAlignment="1" applyProtection="1">
      <alignment horizontal="left"/>
    </xf>
    <xf numFmtId="164" fontId="42" fillId="0" borderId="52" xfId="1" applyFont="1" applyFill="1" applyBorder="1" applyAlignment="1" applyProtection="1">
      <alignment horizontal="left"/>
    </xf>
    <xf numFmtId="0" fontId="43" fillId="0" borderId="39" xfId="0" applyFont="1" applyBorder="1" applyAlignment="1">
      <alignment horizontal="left"/>
    </xf>
    <xf numFmtId="164" fontId="44" fillId="0" borderId="52" xfId="1" applyFont="1" applyFill="1" applyBorder="1"/>
    <xf numFmtId="0" fontId="42" fillId="0" borderId="52" xfId="0" applyFont="1" applyBorder="1" applyAlignment="1">
      <alignment horizontal="left"/>
    </xf>
    <xf numFmtId="0" fontId="44" fillId="0" borderId="39" xfId="0" applyFont="1" applyBorder="1" applyAlignment="1">
      <alignment horizontal="left"/>
    </xf>
    <xf numFmtId="164" fontId="42" fillId="0" borderId="0" xfId="1" applyFont="1" applyFill="1" applyBorder="1"/>
    <xf numFmtId="164" fontId="42" fillId="0" borderId="4" xfId="1" applyFont="1" applyFill="1" applyBorder="1"/>
    <xf numFmtId="164" fontId="42" fillId="0" borderId="0" xfId="1" applyFont="1" applyFill="1" applyBorder="1" applyAlignment="1" applyProtection="1">
      <alignment horizontal="right"/>
    </xf>
    <xf numFmtId="0" fontId="42" fillId="0" borderId="0" xfId="0" applyFont="1" applyAlignment="1">
      <alignment horizontal="left"/>
    </xf>
    <xf numFmtId="164" fontId="42" fillId="0" borderId="54" xfId="1" applyFont="1" applyFill="1" applyBorder="1" applyAlignment="1" applyProtection="1">
      <alignment horizontal="left"/>
    </xf>
    <xf numFmtId="0" fontId="42" fillId="0" borderId="54" xfId="0" applyFont="1" applyBorder="1" applyAlignment="1">
      <alignment horizontal="left"/>
    </xf>
    <xf numFmtId="0" fontId="42" fillId="0" borderId="52" xfId="0" applyFont="1" applyBorder="1"/>
    <xf numFmtId="0" fontId="42" fillId="0" borderId="54" xfId="0" applyFont="1" applyBorder="1"/>
    <xf numFmtId="164" fontId="42" fillId="0" borderId="4" xfId="1" applyFont="1" applyFill="1" applyBorder="1" applyAlignment="1" applyProtection="1">
      <alignment horizontal="left"/>
    </xf>
    <xf numFmtId="43" fontId="42" fillId="0" borderId="0" xfId="0" applyNumberFormat="1" applyFont="1" applyAlignment="1">
      <alignment horizontal="left"/>
    </xf>
    <xf numFmtId="164" fontId="44" fillId="0" borderId="53" xfId="1" applyFont="1" applyFill="1" applyBorder="1" applyAlignment="1" applyProtection="1">
      <alignment vertical="center"/>
    </xf>
    <xf numFmtId="43" fontId="44" fillId="0" borderId="50" xfId="0" applyNumberFormat="1" applyFont="1" applyBorder="1" applyAlignment="1">
      <alignment horizontal="left" vertical="center"/>
    </xf>
    <xf numFmtId="164" fontId="44" fillId="0" borderId="21" xfId="0" applyNumberFormat="1" applyFont="1" applyBorder="1" applyAlignment="1">
      <alignment horizontal="left" vertical="center"/>
    </xf>
    <xf numFmtId="164" fontId="44" fillId="0" borderId="53" xfId="0" applyNumberFormat="1" applyFont="1" applyBorder="1" applyAlignment="1">
      <alignment horizontal="left" vertical="center"/>
    </xf>
    <xf numFmtId="43" fontId="44" fillId="0" borderId="38" xfId="0" applyNumberFormat="1" applyFont="1" applyBorder="1" applyAlignment="1">
      <alignment horizontal="left" vertical="center"/>
    </xf>
    <xf numFmtId="0" fontId="44" fillId="0" borderId="50" xfId="0" applyFont="1" applyBorder="1" applyAlignment="1">
      <alignment horizontal="left" vertical="center"/>
    </xf>
    <xf numFmtId="164" fontId="44" fillId="0" borderId="53" xfId="1" applyFont="1" applyFill="1" applyBorder="1" applyAlignment="1">
      <alignment vertical="center"/>
    </xf>
    <xf numFmtId="164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4" fillId="0" borderId="29" xfId="0" applyFont="1" applyBorder="1" applyAlignment="1">
      <alignment horizontal="center"/>
    </xf>
    <xf numFmtId="164" fontId="42" fillId="0" borderId="0" xfId="1" applyFont="1" applyFill="1" applyBorder="1" applyProtection="1"/>
    <xf numFmtId="164" fontId="45" fillId="0" borderId="39" xfId="1" applyFont="1" applyFill="1" applyBorder="1" applyProtection="1"/>
    <xf numFmtId="0" fontId="44" fillId="0" borderId="33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6" xfId="0" applyFont="1" applyBorder="1"/>
    <xf numFmtId="0" fontId="44" fillId="0" borderId="34" xfId="0" applyFont="1" applyBorder="1" applyAlignment="1">
      <alignment horizontal="center"/>
    </xf>
    <xf numFmtId="0" fontId="44" fillId="0" borderId="34" xfId="0" applyFont="1" applyBorder="1"/>
    <xf numFmtId="0" fontId="44" fillId="0" borderId="37" xfId="0" applyFont="1" applyBorder="1" applyAlignment="1">
      <alignment horizontal="center"/>
    </xf>
    <xf numFmtId="164" fontId="44" fillId="0" borderId="36" xfId="0" applyNumberFormat="1" applyFont="1" applyBorder="1" applyAlignment="1">
      <alignment horizontal="center"/>
    </xf>
    <xf numFmtId="0" fontId="44" fillId="0" borderId="36" xfId="0" applyFont="1" applyBorder="1" applyAlignment="1">
      <alignment horizontal="left"/>
    </xf>
    <xf numFmtId="164" fontId="44" fillId="0" borderId="29" xfId="0" applyNumberFormat="1" applyFont="1" applyBorder="1" applyAlignment="1">
      <alignment horizontal="center"/>
    </xf>
    <xf numFmtId="164" fontId="44" fillId="0" borderId="33" xfId="0" applyNumberFormat="1" applyFont="1" applyBorder="1" applyAlignment="1">
      <alignment horizontal="center"/>
    </xf>
    <xf numFmtId="164" fontId="42" fillId="0" borderId="36" xfId="1" applyFont="1" applyFill="1" applyBorder="1" applyAlignment="1" applyProtection="1">
      <alignment horizontal="right"/>
    </xf>
    <xf numFmtId="164" fontId="42" fillId="0" borderId="36" xfId="0" applyNumberFormat="1" applyFont="1" applyBorder="1" applyAlignment="1">
      <alignment horizontal="center"/>
    </xf>
    <xf numFmtId="164" fontId="44" fillId="0" borderId="36" xfId="1" applyFont="1" applyFill="1" applyBorder="1"/>
    <xf numFmtId="0" fontId="43" fillId="0" borderId="36" xfId="0" applyFont="1" applyBorder="1" applyAlignment="1">
      <alignment horizontal="left"/>
    </xf>
    <xf numFmtId="0" fontId="42" fillId="0" borderId="36" xfId="0" applyFont="1" applyBorder="1" applyAlignment="1">
      <alignment horizontal="left"/>
    </xf>
    <xf numFmtId="164" fontId="44" fillId="0" borderId="29" xfId="1" applyFont="1" applyFill="1" applyBorder="1"/>
    <xf numFmtId="164" fontId="42" fillId="0" borderId="36" xfId="1" applyFont="1" applyFill="1" applyBorder="1" applyProtection="1"/>
    <xf numFmtId="0" fontId="42" fillId="0" borderId="36" xfId="0" applyFont="1" applyBorder="1"/>
    <xf numFmtId="164" fontId="42" fillId="0" borderId="29" xfId="1" applyFont="1" applyFill="1" applyBorder="1" applyProtection="1"/>
    <xf numFmtId="164" fontId="42" fillId="0" borderId="36" xfId="1" applyFont="1" applyFill="1" applyBorder="1"/>
    <xf numFmtId="164" fontId="42" fillId="0" borderId="32" xfId="1" applyFont="1" applyFill="1" applyBorder="1" applyProtection="1"/>
    <xf numFmtId="164" fontId="42" fillId="0" borderId="36" xfId="0" applyNumberFormat="1" applyFont="1" applyBorder="1" applyAlignment="1">
      <alignment horizontal="left"/>
    </xf>
    <xf numFmtId="164" fontId="42" fillId="0" borderId="36" xfId="1" applyFont="1" applyFill="1" applyBorder="1" applyAlignment="1" applyProtection="1">
      <alignment horizontal="fill"/>
    </xf>
    <xf numFmtId="43" fontId="42" fillId="0" borderId="36" xfId="0" applyNumberFormat="1" applyFont="1" applyBorder="1"/>
    <xf numFmtId="164" fontId="42" fillId="0" borderId="29" xfId="1" applyFont="1" applyFill="1" applyBorder="1" applyAlignment="1" applyProtection="1">
      <alignment horizontal="fill"/>
    </xf>
    <xf numFmtId="164" fontId="44" fillId="0" borderId="34" xfId="1" applyFont="1" applyFill="1" applyBorder="1" applyAlignment="1" applyProtection="1">
      <alignment horizontal="fill"/>
    </xf>
    <xf numFmtId="164" fontId="44" fillId="0" borderId="36" xfId="1" applyFont="1" applyFill="1" applyBorder="1" applyAlignment="1" applyProtection="1">
      <alignment horizontal="fill"/>
    </xf>
    <xf numFmtId="164" fontId="44" fillId="0" borderId="31" xfId="1" applyFont="1" applyFill="1" applyBorder="1" applyProtection="1"/>
    <xf numFmtId="43" fontId="42" fillId="0" borderId="31" xfId="0" applyNumberFormat="1" applyFont="1" applyBorder="1"/>
    <xf numFmtId="0" fontId="42" fillId="0" borderId="31" xfId="0" applyFont="1" applyBorder="1"/>
    <xf numFmtId="164" fontId="44" fillId="0" borderId="48" xfId="1" applyFont="1" applyFill="1" applyBorder="1" applyProtection="1"/>
    <xf numFmtId="164" fontId="44" fillId="0" borderId="31" xfId="1" applyFont="1" applyFill="1" applyBorder="1" applyAlignment="1" applyProtection="1">
      <alignment horizontal="fill"/>
    </xf>
    <xf numFmtId="164" fontId="42" fillId="0" borderId="31" xfId="0" applyNumberFormat="1" applyFont="1" applyBorder="1"/>
    <xf numFmtId="164" fontId="42" fillId="0" borderId="31" xfId="1" applyFont="1" applyFill="1" applyBorder="1" applyAlignment="1" applyProtection="1">
      <alignment horizontal="right"/>
    </xf>
    <xf numFmtId="164" fontId="44" fillId="0" borderId="29" xfId="1" applyFont="1" applyFill="1" applyBorder="1" applyProtection="1"/>
    <xf numFmtId="164" fontId="42" fillId="0" borderId="36" xfId="0" applyNumberFormat="1" applyFont="1" applyBorder="1"/>
    <xf numFmtId="43" fontId="42" fillId="0" borderId="0" xfId="0" applyNumberFormat="1" applyFont="1"/>
    <xf numFmtId="164" fontId="42" fillId="0" borderId="36" xfId="1" applyFont="1" applyFill="1" applyBorder="1" applyAlignment="1" applyProtection="1">
      <alignment horizontal="center"/>
    </xf>
    <xf numFmtId="164" fontId="42" fillId="0" borderId="29" xfId="1" applyFont="1" applyFill="1" applyBorder="1" applyAlignment="1" applyProtection="1">
      <alignment horizontal="right"/>
    </xf>
    <xf numFmtId="164" fontId="44" fillId="0" borderId="36" xfId="1" applyFont="1" applyFill="1" applyBorder="1" applyAlignment="1">
      <alignment horizontal="center"/>
    </xf>
    <xf numFmtId="164" fontId="42" fillId="0" borderId="29" xfId="1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39" fontId="44" fillId="0" borderId="29" xfId="0" applyNumberFormat="1" applyFont="1" applyBorder="1" applyAlignment="1">
      <alignment horizontal="left"/>
    </xf>
    <xf numFmtId="39" fontId="42" fillId="0" borderId="0" xfId="0" applyNumberFormat="1" applyFont="1"/>
    <xf numFmtId="43" fontId="42" fillId="0" borderId="39" xfId="0" applyNumberFormat="1" applyFont="1" applyBorder="1"/>
    <xf numFmtId="39" fontId="42" fillId="0" borderId="39" xfId="0" applyNumberFormat="1" applyFont="1" applyBorder="1"/>
    <xf numFmtId="0" fontId="44" fillId="0" borderId="29" xfId="0" applyFont="1" applyBorder="1"/>
    <xf numFmtId="39" fontId="42" fillId="0" borderId="29" xfId="0" applyNumberFormat="1" applyFont="1" applyBorder="1"/>
    <xf numFmtId="39" fontId="46" fillId="0" borderId="29" xfId="0" applyNumberFormat="1" applyFont="1" applyBorder="1" applyAlignment="1">
      <alignment horizontal="left"/>
    </xf>
    <xf numFmtId="39" fontId="44" fillId="0" borderId="0" xfId="0" applyNumberFormat="1" applyFont="1" applyAlignment="1">
      <alignment horizontal="left"/>
    </xf>
    <xf numFmtId="39" fontId="44" fillId="0" borderId="39" xfId="0" applyNumberFormat="1" applyFont="1" applyBorder="1" applyAlignment="1">
      <alignment horizontal="left"/>
    </xf>
    <xf numFmtId="39" fontId="42" fillId="0" borderId="26" xfId="0" applyNumberFormat="1" applyFont="1" applyBorder="1"/>
    <xf numFmtId="39" fontId="42" fillId="0" borderId="43" xfId="0" applyNumberFormat="1" applyFont="1" applyBorder="1"/>
    <xf numFmtId="9" fontId="42" fillId="0" borderId="0" xfId="3" applyFont="1" applyFill="1" applyProtection="1"/>
    <xf numFmtId="9" fontId="42" fillId="0" borderId="0" xfId="3" applyFont="1" applyFill="1"/>
    <xf numFmtId="164" fontId="46" fillId="0" borderId="29" xfId="1" applyFont="1" applyFill="1" applyBorder="1" applyAlignment="1">
      <alignment horizontal="center" vertical="center"/>
    </xf>
    <xf numFmtId="164" fontId="46" fillId="0" borderId="36" xfId="1" applyFont="1" applyFill="1" applyBorder="1" applyAlignment="1">
      <alignment horizontal="center" vertical="center"/>
    </xf>
    <xf numFmtId="17" fontId="46" fillId="0" borderId="29" xfId="1" applyNumberFormat="1" applyFont="1" applyFill="1" applyBorder="1" applyAlignment="1">
      <alignment horizontal="center" vertical="center"/>
    </xf>
    <xf numFmtId="17" fontId="46" fillId="0" borderId="36" xfId="1" applyNumberFormat="1" applyFont="1" applyFill="1" applyBorder="1" applyAlignment="1">
      <alignment horizontal="center" vertical="center"/>
    </xf>
    <xf numFmtId="164" fontId="48" fillId="0" borderId="29" xfId="1" applyFont="1" applyFill="1" applyBorder="1"/>
    <xf numFmtId="164" fontId="48" fillId="0" borderId="33" xfId="1" applyFont="1" applyFill="1" applyBorder="1" applyProtection="1"/>
    <xf numFmtId="164" fontId="46" fillId="0" borderId="29" xfId="1" applyFont="1" applyFill="1" applyBorder="1"/>
    <xf numFmtId="164" fontId="46" fillId="0" borderId="33" xfId="1" applyFont="1" applyFill="1" applyBorder="1" applyProtection="1"/>
    <xf numFmtId="164" fontId="48" fillId="0" borderId="47" xfId="1" applyFont="1" applyFill="1" applyBorder="1" applyProtection="1"/>
    <xf numFmtId="164" fontId="48" fillId="0" borderId="36" xfId="1" applyFont="1" applyFill="1" applyBorder="1"/>
    <xf numFmtId="164" fontId="46" fillId="0" borderId="46" xfId="1" applyFont="1" applyFill="1" applyBorder="1" applyProtection="1"/>
    <xf numFmtId="164" fontId="48" fillId="0" borderId="29" xfId="1" applyFont="1" applyFill="1" applyBorder="1" applyProtection="1"/>
    <xf numFmtId="164" fontId="46" fillId="0" borderId="36" xfId="1" applyFont="1" applyFill="1" applyBorder="1" applyProtection="1"/>
    <xf numFmtId="164" fontId="46" fillId="0" borderId="29" xfId="1" applyFont="1" applyFill="1" applyBorder="1" applyProtection="1"/>
    <xf numFmtId="164" fontId="48" fillId="0" borderId="36" xfId="1" applyFont="1" applyFill="1" applyBorder="1" applyProtection="1"/>
    <xf numFmtId="164" fontId="48" fillId="0" borderId="34" xfId="1" applyFont="1" applyFill="1" applyBorder="1" applyProtection="1"/>
    <xf numFmtId="164" fontId="48" fillId="0" borderId="36" xfId="1" applyFont="1" applyFill="1" applyBorder="1" applyAlignment="1" applyProtection="1">
      <alignment horizontal="fill"/>
    </xf>
    <xf numFmtId="164" fontId="48" fillId="0" borderId="36" xfId="1" applyFont="1" applyFill="1" applyBorder="1" applyAlignment="1" applyProtection="1">
      <alignment horizontal="left"/>
    </xf>
    <xf numFmtId="164" fontId="48" fillId="0" borderId="34" xfId="1" applyFont="1" applyFill="1" applyBorder="1" applyAlignment="1" applyProtection="1">
      <alignment horizontal="left"/>
    </xf>
    <xf numFmtId="164" fontId="48" fillId="0" borderId="33" xfId="1" applyFont="1" applyFill="1" applyBorder="1" applyAlignment="1" applyProtection="1">
      <alignment horizontal="left"/>
    </xf>
    <xf numFmtId="164" fontId="48" fillId="0" borderId="34" xfId="1" applyFont="1" applyFill="1" applyBorder="1" applyAlignment="1" applyProtection="1">
      <alignment horizontal="fill"/>
    </xf>
    <xf numFmtId="164" fontId="46" fillId="0" borderId="17" xfId="1" applyFont="1" applyFill="1" applyBorder="1" applyAlignment="1">
      <alignment horizontal="center" vertical="center"/>
    </xf>
    <xf numFmtId="164" fontId="48" fillId="0" borderId="14" xfId="1" applyFont="1" applyFill="1" applyBorder="1" applyAlignment="1" applyProtection="1">
      <alignment horizontal="center" vertical="center"/>
    </xf>
    <xf numFmtId="164" fontId="48" fillId="0" borderId="14" xfId="1" applyFont="1" applyFill="1" applyBorder="1" applyAlignment="1">
      <alignment horizontal="center" vertical="center"/>
    </xf>
    <xf numFmtId="164" fontId="46" fillId="0" borderId="14" xfId="1" applyFont="1" applyFill="1" applyBorder="1" applyAlignment="1">
      <alignment horizontal="center" vertical="center"/>
    </xf>
    <xf numFmtId="164" fontId="48" fillId="0" borderId="0" xfId="1" applyFont="1" applyFill="1" applyBorder="1" applyProtection="1"/>
    <xf numFmtId="164" fontId="46" fillId="0" borderId="0" xfId="1" applyFont="1" applyFill="1" applyBorder="1"/>
    <xf numFmtId="164" fontId="48" fillId="0" borderId="0" xfId="1" applyFont="1" applyFill="1" applyBorder="1"/>
    <xf numFmtId="164" fontId="46" fillId="0" borderId="39" xfId="1" applyFont="1" applyFill="1" applyBorder="1" applyAlignment="1">
      <alignment horizontal="right"/>
    </xf>
    <xf numFmtId="164" fontId="46" fillId="0" borderId="36" xfId="1" applyFont="1" applyFill="1" applyBorder="1"/>
    <xf numFmtId="164" fontId="48" fillId="0" borderId="29" xfId="1" applyFont="1" applyFill="1" applyBorder="1" applyAlignment="1">
      <alignment horizontal="right"/>
    </xf>
    <xf numFmtId="164" fontId="48" fillId="0" borderId="37" xfId="1" applyFont="1" applyFill="1" applyBorder="1" applyAlignment="1"/>
    <xf numFmtId="164" fontId="48" fillId="0" borderId="37" xfId="1" applyFont="1" applyFill="1" applyBorder="1" applyProtection="1"/>
    <xf numFmtId="164" fontId="46" fillId="0" borderId="0" xfId="1" applyFont="1" applyFill="1" applyBorder="1" applyProtection="1"/>
    <xf numFmtId="164" fontId="42" fillId="0" borderId="39" xfId="1" applyFont="1" applyFill="1" applyBorder="1" applyAlignment="1" applyProtection="1">
      <alignment horizontal="left"/>
    </xf>
    <xf numFmtId="164" fontId="46" fillId="0" borderId="0" xfId="1" applyFont="1" applyFill="1" applyBorder="1" applyAlignment="1" applyProtection="1">
      <alignment horizontal="right"/>
    </xf>
    <xf numFmtId="164" fontId="48" fillId="0" borderId="32" xfId="1" applyFont="1" applyFill="1" applyBorder="1" applyProtection="1"/>
    <xf numFmtId="164" fontId="48" fillId="0" borderId="17" xfId="1" applyFont="1" applyFill="1" applyBorder="1" applyAlignment="1" applyProtection="1">
      <alignment horizontal="center" vertical="center"/>
    </xf>
    <xf numFmtId="164" fontId="48" fillId="0" borderId="0" xfId="1" quotePrefix="1" applyFont="1" applyFill="1" applyBorder="1" applyAlignment="1" applyProtection="1">
      <alignment horizontal="center"/>
    </xf>
    <xf numFmtId="164" fontId="48" fillId="0" borderId="29" xfId="1" applyFont="1" applyFill="1" applyBorder="1" applyAlignment="1" applyProtection="1">
      <alignment horizontal="center"/>
    </xf>
    <xf numFmtId="164" fontId="48" fillId="0" borderId="0" xfId="1" applyFont="1" applyFill="1" applyBorder="1" applyAlignment="1" applyProtection="1">
      <alignment horizontal="center"/>
    </xf>
    <xf numFmtId="164" fontId="48" fillId="0" borderId="0" xfId="1" applyFont="1" applyFill="1" applyBorder="1" applyAlignment="1" applyProtection="1">
      <alignment horizontal="left" indent="2"/>
    </xf>
    <xf numFmtId="164" fontId="46" fillId="0" borderId="39" xfId="1" applyFont="1" applyFill="1" applyBorder="1"/>
    <xf numFmtId="0" fontId="43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center"/>
    </xf>
    <xf numFmtId="0" fontId="44" fillId="0" borderId="43" xfId="0" applyFont="1" applyBorder="1" applyAlignment="1">
      <alignment vertical="center"/>
    </xf>
    <xf numFmtId="0" fontId="44" fillId="0" borderId="26" xfId="0" applyFont="1" applyBorder="1" applyAlignment="1">
      <alignment vertical="center"/>
    </xf>
    <xf numFmtId="43" fontId="44" fillId="0" borderId="43" xfId="0" applyNumberFormat="1" applyFont="1" applyBorder="1" applyAlignment="1">
      <alignment vertical="center"/>
    </xf>
    <xf numFmtId="39" fontId="46" fillId="0" borderId="30" xfId="0" applyNumberFormat="1" applyFont="1" applyBorder="1" applyAlignment="1">
      <alignment horizontal="left"/>
    </xf>
    <xf numFmtId="164" fontId="44" fillId="0" borderId="15" xfId="1" applyFont="1" applyFill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164" fontId="44" fillId="0" borderId="19" xfId="1" applyFont="1" applyFill="1" applyBorder="1" applyAlignment="1">
      <alignment horizontal="center" vertical="center"/>
    </xf>
    <xf numFmtId="164" fontId="42" fillId="0" borderId="15" xfId="1" applyFont="1" applyFill="1" applyBorder="1" applyAlignment="1" applyProtection="1">
      <alignment horizontal="center" vertical="center"/>
    </xf>
    <xf numFmtId="164" fontId="42" fillId="0" borderId="19" xfId="1" applyFont="1" applyFill="1" applyBorder="1"/>
    <xf numFmtId="164" fontId="42" fillId="0" borderId="28" xfId="1" applyFont="1" applyFill="1" applyBorder="1"/>
    <xf numFmtId="164" fontId="42" fillId="0" borderId="40" xfId="0" applyNumberFormat="1" applyFont="1" applyBorder="1"/>
    <xf numFmtId="0" fontId="42" fillId="0" borderId="30" xfId="0" applyFont="1" applyBorder="1"/>
    <xf numFmtId="0" fontId="44" fillId="0" borderId="0" xfId="0" applyFont="1" applyAlignment="1">
      <alignment horizontal="left"/>
    </xf>
    <xf numFmtId="164" fontId="46" fillId="0" borderId="7" xfId="1" applyFont="1" applyFill="1" applyBorder="1" applyAlignment="1">
      <alignment horizontal="center" vertical="center"/>
    </xf>
    <xf numFmtId="164" fontId="46" fillId="0" borderId="33" xfId="1" applyFont="1" applyFill="1" applyBorder="1" applyAlignment="1">
      <alignment horizontal="center" vertical="center"/>
    </xf>
    <xf numFmtId="164" fontId="46" fillId="0" borderId="45" xfId="1" applyFont="1" applyFill="1" applyBorder="1" applyAlignment="1">
      <alignment horizontal="center" vertical="center"/>
    </xf>
    <xf numFmtId="164" fontId="46" fillId="0" borderId="56" xfId="1" applyFont="1" applyFill="1" applyBorder="1" applyAlignment="1">
      <alignment horizontal="center" vertical="center"/>
    </xf>
    <xf numFmtId="17" fontId="46" fillId="0" borderId="8" xfId="1" applyNumberFormat="1" applyFont="1" applyFill="1" applyBorder="1" applyAlignment="1">
      <alignment horizontal="center" vertical="center"/>
    </xf>
    <xf numFmtId="17" fontId="46" fillId="0" borderId="54" xfId="1" applyNumberFormat="1" applyFont="1" applyFill="1" applyBorder="1" applyAlignment="1">
      <alignment horizontal="center" vertical="center"/>
    </xf>
    <xf numFmtId="39" fontId="48" fillId="0" borderId="0" xfId="0" applyNumberFormat="1" applyFont="1"/>
    <xf numFmtId="0" fontId="48" fillId="0" borderId="0" xfId="0" applyFont="1"/>
    <xf numFmtId="0" fontId="48" fillId="0" borderId="29" xfId="0" applyFont="1" applyBorder="1"/>
    <xf numFmtId="0" fontId="48" fillId="0" borderId="0" xfId="0" applyFont="1" applyAlignment="1">
      <alignment horizontal="right"/>
    </xf>
    <xf numFmtId="0" fontId="46" fillId="0" borderId="0" xfId="0" applyFont="1" applyAlignment="1">
      <alignment horizontal="right"/>
    </xf>
    <xf numFmtId="0" fontId="47" fillId="0" borderId="0" xfId="0" applyFont="1" applyAlignment="1">
      <alignment horizontal="right"/>
    </xf>
    <xf numFmtId="0" fontId="46" fillId="0" borderId="39" xfId="0" applyFont="1" applyBorder="1"/>
    <xf numFmtId="0" fontId="48" fillId="0" borderId="29" xfId="0" applyFont="1" applyBorder="1" applyAlignment="1">
      <alignment horizontal="left"/>
    </xf>
    <xf numFmtId="0" fontId="46" fillId="0" borderId="0" xfId="0" applyFont="1"/>
    <xf numFmtId="0" fontId="46" fillId="0" borderId="33" xfId="0" applyFont="1" applyBorder="1" applyAlignment="1">
      <alignment horizontal="center" vertical="center"/>
    </xf>
    <xf numFmtId="39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9" xfId="0" quotePrefix="1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6" fillId="0" borderId="37" xfId="0" quotePrefix="1" applyFont="1" applyBorder="1" applyAlignment="1">
      <alignment horizontal="center" vertical="center"/>
    </xf>
    <xf numFmtId="0" fontId="46" fillId="0" borderId="57" xfId="0" quotePrefix="1" applyFont="1" applyBorder="1" applyAlignment="1">
      <alignment horizontal="center" vertical="center"/>
    </xf>
    <xf numFmtId="39" fontId="47" fillId="0" borderId="36" xfId="0" applyNumberFormat="1" applyFont="1" applyBorder="1" applyAlignment="1">
      <alignment horizontal="left"/>
    </xf>
    <xf numFmtId="0" fontId="48" fillId="0" borderId="36" xfId="0" applyFont="1" applyBorder="1"/>
    <xf numFmtId="39" fontId="48" fillId="0" borderId="36" xfId="0" applyNumberFormat="1" applyFont="1" applyBorder="1" applyAlignment="1">
      <alignment horizontal="left"/>
    </xf>
    <xf numFmtId="0" fontId="46" fillId="0" borderId="29" xfId="0" applyFont="1" applyBorder="1"/>
    <xf numFmtId="39" fontId="48" fillId="0" borderId="36" xfId="0" applyNumberFormat="1" applyFont="1" applyBorder="1" applyAlignment="1">
      <alignment horizontal="left" wrapText="1"/>
    </xf>
    <xf numFmtId="43" fontId="48" fillId="0" borderId="29" xfId="0" applyNumberFormat="1" applyFont="1" applyBorder="1"/>
    <xf numFmtId="164" fontId="48" fillId="0" borderId="0" xfId="0" applyNumberFormat="1" applyFont="1"/>
    <xf numFmtId="164" fontId="46" fillId="0" borderId="29" xfId="0" applyNumberFormat="1" applyFont="1" applyBorder="1"/>
    <xf numFmtId="164" fontId="48" fillId="0" borderId="34" xfId="0" applyNumberFormat="1" applyFont="1" applyBorder="1"/>
    <xf numFmtId="164" fontId="48" fillId="0" borderId="36" xfId="0" applyNumberFormat="1" applyFont="1" applyBorder="1"/>
    <xf numFmtId="164" fontId="48" fillId="0" borderId="29" xfId="0" applyNumberFormat="1" applyFont="1" applyBorder="1"/>
    <xf numFmtId="164" fontId="46" fillId="0" borderId="36" xfId="0" applyNumberFormat="1" applyFont="1" applyBorder="1"/>
    <xf numFmtId="0" fontId="46" fillId="0" borderId="36" xfId="0" applyFont="1" applyBorder="1"/>
    <xf numFmtId="43" fontId="46" fillId="0" borderId="29" xfId="0" applyNumberFormat="1" applyFont="1" applyBorder="1"/>
    <xf numFmtId="0" fontId="48" fillId="0" borderId="14" xfId="0" applyFont="1" applyBorder="1" applyAlignment="1">
      <alignment horizontal="center" vertical="center"/>
    </xf>
    <xf numFmtId="43" fontId="48" fillId="0" borderId="14" xfId="0" applyNumberFormat="1" applyFont="1" applyBorder="1" applyAlignment="1">
      <alignment horizontal="center" vertical="center"/>
    </xf>
    <xf numFmtId="39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43" fontId="48" fillId="0" borderId="0" xfId="0" applyNumberFormat="1" applyFont="1"/>
    <xf numFmtId="0" fontId="46" fillId="0" borderId="29" xfId="0" applyFont="1" applyBorder="1" applyAlignment="1">
      <alignment horizontal="center" vertical="center"/>
    </xf>
    <xf numFmtId="0" fontId="46" fillId="0" borderId="37" xfId="0" applyFont="1" applyBorder="1" applyAlignment="1">
      <alignment horizontal="center" vertical="center"/>
    </xf>
    <xf numFmtId="164" fontId="46" fillId="0" borderId="45" xfId="0" applyNumberFormat="1" applyFont="1" applyBorder="1"/>
    <xf numFmtId="0" fontId="48" fillId="0" borderId="45" xfId="0" applyFont="1" applyBorder="1"/>
    <xf numFmtId="0" fontId="46" fillId="0" borderId="33" xfId="0" applyFont="1" applyBorder="1"/>
    <xf numFmtId="0" fontId="48" fillId="0" borderId="33" xfId="0" applyFont="1" applyBorder="1"/>
    <xf numFmtId="164" fontId="46" fillId="0" borderId="33" xfId="0" applyNumberFormat="1" applyFont="1" applyBorder="1"/>
    <xf numFmtId="39" fontId="48" fillId="0" borderId="29" xfId="0" applyNumberFormat="1" applyFont="1" applyBorder="1" applyAlignment="1">
      <alignment horizontal="left"/>
    </xf>
    <xf numFmtId="39" fontId="47" fillId="0" borderId="29" xfId="0" applyNumberFormat="1" applyFont="1" applyBorder="1" applyAlignment="1">
      <alignment horizontal="left"/>
    </xf>
    <xf numFmtId="0" fontId="47" fillId="0" borderId="29" xfId="0" applyFont="1" applyBorder="1"/>
    <xf numFmtId="164" fontId="44" fillId="0" borderId="5" xfId="1" applyFont="1" applyFill="1" applyBorder="1" applyAlignment="1" applyProtection="1">
      <alignment horizontal="left"/>
    </xf>
    <xf numFmtId="164" fontId="46" fillId="0" borderId="32" xfId="1" applyFont="1" applyFill="1" applyBorder="1" applyProtection="1"/>
    <xf numFmtId="39" fontId="48" fillId="0" borderId="0" xfId="0" quotePrefix="1" applyNumberFormat="1" applyFont="1"/>
    <xf numFmtId="0" fontId="48" fillId="0" borderId="17" xfId="0" applyFont="1" applyBorder="1" applyAlignment="1">
      <alignment horizontal="center" vertical="center"/>
    </xf>
    <xf numFmtId="0" fontId="46" fillId="0" borderId="45" xfId="0" applyFont="1" applyBorder="1" applyAlignment="1">
      <alignment horizontal="center" vertical="center"/>
    </xf>
    <xf numFmtId="164" fontId="46" fillId="0" borderId="39" xfId="0" applyNumberFormat="1" applyFont="1" applyBorder="1"/>
    <xf numFmtId="39" fontId="46" fillId="0" borderId="0" xfId="0" applyNumberFormat="1" applyFont="1"/>
    <xf numFmtId="39" fontId="46" fillId="0" borderId="39" xfId="0" applyNumberFormat="1" applyFont="1" applyBorder="1"/>
    <xf numFmtId="39" fontId="46" fillId="0" borderId="0" xfId="0" applyNumberFormat="1" applyFont="1" applyAlignment="1">
      <alignment horizontal="left"/>
    </xf>
    <xf numFmtId="39" fontId="48" fillId="0" borderId="29" xfId="0" applyNumberFormat="1" applyFont="1" applyBorder="1"/>
    <xf numFmtId="39" fontId="48" fillId="0" borderId="26" xfId="0" applyNumberFormat="1" applyFont="1" applyBorder="1"/>
    <xf numFmtId="39" fontId="46" fillId="0" borderId="26" xfId="0" applyNumberFormat="1" applyFont="1" applyBorder="1"/>
    <xf numFmtId="39" fontId="46" fillId="0" borderId="43" xfId="0" applyNumberFormat="1" applyFont="1" applyBorder="1"/>
    <xf numFmtId="39" fontId="48" fillId="0" borderId="29" xfId="0" applyNumberFormat="1" applyFont="1" applyBorder="1" applyAlignment="1">
      <alignment horizontal="left" wrapText="1"/>
    </xf>
    <xf numFmtId="164" fontId="48" fillId="0" borderId="39" xfId="1" quotePrefix="1" applyFont="1" applyFill="1" applyBorder="1" applyAlignment="1" applyProtection="1">
      <alignment horizontal="center"/>
    </xf>
    <xf numFmtId="164" fontId="48" fillId="0" borderId="39" xfId="1" applyFont="1" applyFill="1" applyBorder="1"/>
    <xf numFmtId="164" fontId="48" fillId="0" borderId="43" xfId="1" quotePrefix="1" applyFont="1" applyFill="1" applyBorder="1" applyAlignment="1" applyProtection="1">
      <alignment horizontal="center"/>
    </xf>
    <xf numFmtId="164" fontId="46" fillId="0" borderId="0" xfId="1" applyFont="1" applyFill="1" applyBorder="1" applyAlignment="1"/>
    <xf numFmtId="164" fontId="48" fillId="0" borderId="0" xfId="1" applyFont="1" applyFill="1" applyBorder="1" applyAlignment="1"/>
    <xf numFmtId="164" fontId="46" fillId="0" borderId="0" xfId="1" applyFont="1" applyFill="1" applyBorder="1" applyAlignment="1">
      <alignment horizontal="right"/>
    </xf>
    <xf numFmtId="164" fontId="48" fillId="0" borderId="0" xfId="1" applyFont="1" applyFill="1" applyBorder="1" applyAlignment="1">
      <alignment horizontal="right"/>
    </xf>
    <xf numFmtId="164" fontId="48" fillId="0" borderId="4" xfId="1" applyFont="1" applyFill="1" applyBorder="1" applyAlignment="1"/>
    <xf numFmtId="164" fontId="48" fillId="0" borderId="0" xfId="1" applyFont="1" applyFill="1" applyBorder="1" applyAlignment="1" applyProtection="1">
      <alignment horizontal="right"/>
    </xf>
    <xf numFmtId="164" fontId="46" fillId="0" borderId="0" xfId="0" applyNumberFormat="1" applyFont="1"/>
    <xf numFmtId="0" fontId="48" fillId="0" borderId="39" xfId="0" applyFont="1" applyBorder="1"/>
    <xf numFmtId="0" fontId="46" fillId="0" borderId="30" xfId="0" quotePrefix="1" applyFont="1" applyBorder="1" applyAlignment="1">
      <alignment horizontal="center" vertical="center"/>
    </xf>
    <xf numFmtId="0" fontId="46" fillId="0" borderId="30" xfId="0" applyFont="1" applyBorder="1" applyAlignment="1">
      <alignment horizontal="center" vertical="center"/>
    </xf>
    <xf numFmtId="0" fontId="46" fillId="0" borderId="32" xfId="0" quotePrefix="1" applyFont="1" applyBorder="1" applyAlignment="1">
      <alignment horizontal="center" vertical="center"/>
    </xf>
    <xf numFmtId="0" fontId="46" fillId="0" borderId="32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/>
    </xf>
    <xf numFmtId="164" fontId="46" fillId="0" borderId="8" xfId="1" applyFont="1" applyFill="1" applyBorder="1" applyAlignment="1">
      <alignment horizontal="center" vertical="center"/>
    </xf>
    <xf numFmtId="164" fontId="46" fillId="0" borderId="54" xfId="1" applyFont="1" applyFill="1" applyBorder="1" applyAlignment="1">
      <alignment horizontal="center" vertical="center"/>
    </xf>
    <xf numFmtId="0" fontId="46" fillId="0" borderId="58" xfId="0" quotePrefix="1" applyFont="1" applyBorder="1" applyAlignment="1">
      <alignment horizontal="center" vertical="center"/>
    </xf>
    <xf numFmtId="0" fontId="46" fillId="0" borderId="59" xfId="0" quotePrefix="1" applyFont="1" applyBorder="1" applyAlignment="1">
      <alignment horizontal="center" vertical="center"/>
    </xf>
    <xf numFmtId="164" fontId="46" fillId="0" borderId="8" xfId="0" applyNumberFormat="1" applyFont="1" applyBorder="1"/>
    <xf numFmtId="164" fontId="46" fillId="0" borderId="54" xfId="0" applyNumberFormat="1" applyFont="1" applyBorder="1"/>
    <xf numFmtId="0" fontId="48" fillId="0" borderId="8" xfId="0" applyFont="1" applyBorder="1"/>
    <xf numFmtId="164" fontId="48" fillId="0" borderId="8" xfId="1" applyFont="1" applyFill="1" applyBorder="1"/>
    <xf numFmtId="164" fontId="46" fillId="0" borderId="54" xfId="1" applyFont="1" applyFill="1" applyBorder="1" applyProtection="1"/>
    <xf numFmtId="164" fontId="48" fillId="0" borderId="8" xfId="1" applyFont="1" applyFill="1" applyBorder="1" applyProtection="1"/>
    <xf numFmtId="0" fontId="46" fillId="0" borderId="54" xfId="0" applyFont="1" applyBorder="1"/>
    <xf numFmtId="164" fontId="48" fillId="0" borderId="54" xfId="0" applyNumberFormat="1" applyFont="1" applyBorder="1"/>
    <xf numFmtId="0" fontId="48" fillId="0" borderId="9" xfId="0" applyFont="1" applyBorder="1"/>
    <xf numFmtId="0" fontId="48" fillId="0" borderId="34" xfId="0" applyFont="1" applyBorder="1"/>
    <xf numFmtId="0" fontId="48" fillId="0" borderId="4" xfId="0" applyFont="1" applyBorder="1"/>
    <xf numFmtId="0" fontId="46" fillId="0" borderId="34" xfId="0" applyFont="1" applyBorder="1"/>
    <xf numFmtId="164" fontId="48" fillId="0" borderId="4" xfId="1" quotePrefix="1" applyFont="1" applyFill="1" applyBorder="1" applyAlignment="1" applyProtection="1">
      <alignment horizontal="center"/>
    </xf>
    <xf numFmtId="164" fontId="48" fillId="0" borderId="41" xfId="1" quotePrefix="1" applyFont="1" applyFill="1" applyBorder="1" applyAlignment="1" applyProtection="1">
      <alignment horizontal="center"/>
    </xf>
    <xf numFmtId="0" fontId="46" fillId="0" borderId="57" xfId="0" applyFont="1" applyBorder="1"/>
    <xf numFmtId="49" fontId="46" fillId="0" borderId="0" xfId="0" applyNumberFormat="1" applyFont="1" applyAlignment="1">
      <alignment vertical="top"/>
    </xf>
    <xf numFmtId="49" fontId="48" fillId="0" borderId="0" xfId="0" applyNumberFormat="1" applyFont="1" applyAlignment="1">
      <alignment vertical="top"/>
    </xf>
    <xf numFmtId="49" fontId="46" fillId="0" borderId="28" xfId="0" applyNumberFormat="1" applyFont="1" applyBorder="1" applyAlignment="1">
      <alignment horizontal="left" vertical="top" indent="2"/>
    </xf>
    <xf numFmtId="49" fontId="46" fillId="0" borderId="0" xfId="0" applyNumberFormat="1" applyFont="1" applyAlignment="1">
      <alignment horizontal="left" vertical="top" indent="2"/>
    </xf>
    <xf numFmtId="49" fontId="46" fillId="0" borderId="29" xfId="0" applyNumberFormat="1" applyFont="1" applyBorder="1" applyAlignment="1">
      <alignment horizontal="left" vertical="top" indent="2"/>
    </xf>
    <xf numFmtId="49" fontId="46" fillId="0" borderId="30" xfId="0" applyNumberFormat="1" applyFont="1" applyBorder="1" applyAlignment="1">
      <alignment horizontal="left" vertical="top" indent="2"/>
    </xf>
    <xf numFmtId="49" fontId="48" fillId="0" borderId="10" xfId="0" applyNumberFormat="1" applyFont="1" applyBorder="1" applyAlignment="1">
      <alignment horizontal="center" vertical="top"/>
    </xf>
    <xf numFmtId="167" fontId="46" fillId="0" borderId="27" xfId="0" applyNumberFormat="1" applyFont="1" applyBorder="1" applyAlignment="1">
      <alignment horizontal="right" vertical="top"/>
    </xf>
    <xf numFmtId="168" fontId="46" fillId="0" borderId="27" xfId="0" applyNumberFormat="1" applyFont="1" applyBorder="1" applyAlignment="1">
      <alignment horizontal="right" vertical="top"/>
    </xf>
    <xf numFmtId="49" fontId="48" fillId="0" borderId="0" xfId="0" applyNumberFormat="1" applyFont="1" applyAlignment="1">
      <alignment horizontal="left" vertical="top" indent="2"/>
    </xf>
    <xf numFmtId="167" fontId="48" fillId="0" borderId="0" xfId="0" applyNumberFormat="1" applyFont="1" applyAlignment="1">
      <alignment horizontal="right" vertical="top"/>
    </xf>
    <xf numFmtId="168" fontId="48" fillId="0" borderId="0" xfId="0" applyNumberFormat="1" applyFont="1" applyAlignment="1">
      <alignment horizontal="right" vertical="top"/>
    </xf>
    <xf numFmtId="167" fontId="46" fillId="0" borderId="26" xfId="0" applyNumberFormat="1" applyFont="1" applyBorder="1" applyAlignment="1">
      <alignment horizontal="right" vertical="top"/>
    </xf>
    <xf numFmtId="168" fontId="46" fillId="0" borderId="26" xfId="0" applyNumberFormat="1" applyFont="1" applyBorder="1" applyAlignment="1">
      <alignment horizontal="right" vertical="top"/>
    </xf>
    <xf numFmtId="49" fontId="46" fillId="0" borderId="27" xfId="0" applyNumberFormat="1" applyFont="1" applyBorder="1" applyAlignment="1">
      <alignment horizontal="left" vertical="top" indent="2"/>
    </xf>
    <xf numFmtId="164" fontId="47" fillId="0" borderId="0" xfId="1" applyFont="1" applyFill="1" applyAlignment="1">
      <alignment horizontal="left"/>
    </xf>
    <xf numFmtId="0" fontId="42" fillId="0" borderId="26" xfId="0" applyFont="1" applyBorder="1"/>
    <xf numFmtId="39" fontId="44" fillId="0" borderId="0" xfId="0" applyNumberFormat="1" applyFont="1" applyAlignment="1">
      <alignment horizontal="center"/>
    </xf>
    <xf numFmtId="39" fontId="44" fillId="0" borderId="39" xfId="0" applyNumberFormat="1" applyFont="1" applyBorder="1" applyAlignment="1">
      <alignment horizontal="center"/>
    </xf>
    <xf numFmtId="0" fontId="47" fillId="0" borderId="19" xfId="0" applyFont="1" applyBorder="1" applyAlignment="1">
      <alignment horizontal="center"/>
    </xf>
    <xf numFmtId="0" fontId="47" fillId="0" borderId="28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29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7" fillId="0" borderId="39" xfId="0" applyFont="1" applyBorder="1" applyAlignment="1">
      <alignment horizontal="center"/>
    </xf>
    <xf numFmtId="164" fontId="46" fillId="0" borderId="29" xfId="1" applyFont="1" applyFill="1" applyBorder="1" applyAlignment="1" applyProtection="1">
      <alignment horizontal="center" vertical="center"/>
    </xf>
    <xf numFmtId="164" fontId="46" fillId="0" borderId="37" xfId="1" applyFont="1" applyFill="1" applyBorder="1" applyAlignment="1" applyProtection="1">
      <alignment horizontal="center" vertical="center"/>
    </xf>
    <xf numFmtId="164" fontId="46" fillId="0" borderId="29" xfId="0" applyNumberFormat="1" applyFont="1" applyBorder="1" applyAlignment="1">
      <alignment horizontal="center" vertical="center"/>
    </xf>
    <xf numFmtId="164" fontId="46" fillId="0" borderId="37" xfId="0" applyNumberFormat="1" applyFont="1" applyBorder="1" applyAlignment="1">
      <alignment horizontal="center" vertical="center"/>
    </xf>
    <xf numFmtId="164" fontId="46" fillId="0" borderId="29" xfId="1" applyFont="1" applyFill="1" applyBorder="1" applyAlignment="1">
      <alignment horizontal="center" vertical="center"/>
    </xf>
    <xf numFmtId="164" fontId="46" fillId="0" borderId="37" xfId="1" applyFont="1" applyFill="1" applyBorder="1" applyAlignment="1">
      <alignment horizontal="center" vertical="center"/>
    </xf>
    <xf numFmtId="164" fontId="46" fillId="0" borderId="36" xfId="1" applyFont="1" applyFill="1" applyBorder="1" applyAlignment="1" applyProtection="1">
      <alignment horizontal="center" vertical="center"/>
    </xf>
    <xf numFmtId="164" fontId="46" fillId="0" borderId="34" xfId="1" applyFont="1" applyFill="1" applyBorder="1" applyAlignment="1" applyProtection="1">
      <alignment horizontal="center" vertical="center"/>
    </xf>
    <xf numFmtId="164" fontId="48" fillId="0" borderId="36" xfId="1" applyFont="1" applyFill="1" applyBorder="1" applyAlignment="1" applyProtection="1">
      <alignment horizontal="center" vertical="center"/>
    </xf>
    <xf numFmtId="164" fontId="48" fillId="0" borderId="34" xfId="1" applyFont="1" applyFill="1" applyBorder="1" applyAlignment="1" applyProtection="1">
      <alignment horizontal="center" vertical="center"/>
    </xf>
    <xf numFmtId="164" fontId="21" fillId="0" borderId="0" xfId="1" applyFont="1" applyBorder="1" applyAlignment="1">
      <alignment horizontal="center" vertical="top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top"/>
    </xf>
    <xf numFmtId="49" fontId="22" fillId="0" borderId="0" xfId="0" applyNumberFormat="1" applyFont="1" applyAlignment="1">
      <alignment horizontal="center" vertical="top"/>
    </xf>
    <xf numFmtId="164" fontId="21" fillId="0" borderId="28" xfId="1" applyFont="1" applyBorder="1" applyAlignment="1">
      <alignment horizontal="center" vertical="top" wrapText="1"/>
    </xf>
    <xf numFmtId="164" fontId="22" fillId="0" borderId="0" xfId="1" applyFont="1" applyBorder="1" applyAlignment="1">
      <alignment horizontal="center" vertical="top" wrapText="1"/>
    </xf>
    <xf numFmtId="164" fontId="21" fillId="0" borderId="29" xfId="1" applyFont="1" applyFill="1" applyBorder="1" applyAlignment="1">
      <alignment horizontal="center" vertical="center"/>
    </xf>
    <xf numFmtId="164" fontId="21" fillId="0" borderId="39" xfId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164" fontId="22" fillId="0" borderId="15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49" fontId="22" fillId="0" borderId="29" xfId="0" applyNumberFormat="1" applyFont="1" applyBorder="1" applyAlignment="1">
      <alignment horizontal="center" vertical="center"/>
    </xf>
    <xf numFmtId="49" fontId="22" fillId="0" borderId="39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49" fontId="21" fillId="0" borderId="28" xfId="0" applyNumberFormat="1" applyFont="1" applyBorder="1" applyAlignment="1">
      <alignment horizontal="center" vertical="center"/>
    </xf>
    <xf numFmtId="49" fontId="21" fillId="0" borderId="40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164" fontId="21" fillId="0" borderId="19" xfId="1" applyFont="1" applyBorder="1" applyAlignment="1">
      <alignment horizontal="center" vertical="top" wrapText="1"/>
    </xf>
    <xf numFmtId="164" fontId="21" fillId="0" borderId="40" xfId="1" applyFont="1" applyBorder="1" applyAlignment="1">
      <alignment horizontal="center" vertical="top" wrapText="1"/>
    </xf>
    <xf numFmtId="164" fontId="21" fillId="0" borderId="29" xfId="1" applyFont="1" applyBorder="1" applyAlignment="1">
      <alignment horizontal="center" vertical="top" wrapText="1"/>
    </xf>
    <xf numFmtId="164" fontId="21" fillId="0" borderId="0" xfId="1" applyFont="1" applyBorder="1" applyAlignment="1">
      <alignment horizontal="center" vertical="top" wrapText="1"/>
    </xf>
    <xf numFmtId="164" fontId="21" fillId="0" borderId="39" xfId="1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49" fontId="48" fillId="0" borderId="0" xfId="0" applyNumberFormat="1" applyFont="1" applyAlignment="1">
      <alignment vertical="top"/>
    </xf>
    <xf numFmtId="49" fontId="49" fillId="0" borderId="28" xfId="0" applyNumberFormat="1" applyFont="1" applyBorder="1" applyAlignment="1">
      <alignment horizontal="center" vertical="top" wrapText="1"/>
    </xf>
    <xf numFmtId="49" fontId="46" fillId="0" borderId="29" xfId="0" applyNumberFormat="1" applyFont="1" applyBorder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49" fontId="48" fillId="0" borderId="29" xfId="0" applyNumberFormat="1" applyFont="1" applyBorder="1" applyAlignment="1">
      <alignment horizontal="center" vertical="top" wrapText="1"/>
    </xf>
    <xf numFmtId="49" fontId="48" fillId="0" borderId="0" xfId="0" applyNumberFormat="1" applyFont="1" applyAlignment="1">
      <alignment horizontal="center" vertical="top" wrapText="1"/>
    </xf>
    <xf numFmtId="49" fontId="46" fillId="0" borderId="19" xfId="0" applyNumberFormat="1" applyFont="1" applyBorder="1" applyAlignment="1">
      <alignment horizontal="center" vertical="top"/>
    </xf>
    <xf numFmtId="49" fontId="46" fillId="0" borderId="28" xfId="0" applyNumberFormat="1" applyFont="1" applyBorder="1" applyAlignment="1">
      <alignment horizontal="center" vertical="top"/>
    </xf>
    <xf numFmtId="49" fontId="46" fillId="0" borderId="0" xfId="0" applyNumberFormat="1" applyFont="1" applyAlignment="1">
      <alignment vertical="top"/>
    </xf>
    <xf numFmtId="49" fontId="48" fillId="0" borderId="26" xfId="0" applyNumberFormat="1" applyFont="1" applyBorder="1" applyAlignment="1">
      <alignment vertical="top"/>
    </xf>
    <xf numFmtId="49" fontId="46" fillId="0" borderId="28" xfId="0" applyNumberFormat="1" applyFont="1" applyBorder="1" applyAlignment="1">
      <alignment vertical="top"/>
    </xf>
    <xf numFmtId="49" fontId="48" fillId="0" borderId="28" xfId="0" applyNumberFormat="1" applyFont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2" xfId="4" xr:uid="{00000000-0005-0000-0000-000002000000}"/>
    <cellStyle name="Normal 4" xfId="2" xr:uid="{00000000-0005-0000-0000-000003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D28" sqref="D28"/>
    </sheetView>
  </sheetViews>
  <sheetFormatPr defaultColWidth="9.109375" defaultRowHeight="15" x14ac:dyDescent="0.25"/>
  <cols>
    <col min="1" max="1" width="6.109375" style="83" customWidth="1"/>
    <col min="2" max="2" width="29.33203125" style="81" bestFit="1" customWidth="1"/>
    <col min="3" max="3" width="17.88671875" style="82" customWidth="1"/>
    <col min="4" max="4" width="19.88671875" style="84" bestFit="1" customWidth="1"/>
    <col min="5" max="5" width="9.6640625" style="82" bestFit="1" customWidth="1"/>
    <col min="6" max="6" width="8.44140625" style="82" bestFit="1" customWidth="1"/>
    <col min="7" max="16384" width="9.109375" style="81"/>
  </cols>
  <sheetData>
    <row r="1" spans="1:6" x14ac:dyDescent="0.25">
      <c r="A1" s="80" t="s">
        <v>287</v>
      </c>
    </row>
    <row r="4" spans="1:6" x14ac:dyDescent="0.25">
      <c r="A4" s="83">
        <v>1</v>
      </c>
      <c r="B4" s="81" t="s">
        <v>284</v>
      </c>
      <c r="C4" s="82">
        <v>276100</v>
      </c>
    </row>
    <row r="6" spans="1:6" x14ac:dyDescent="0.25">
      <c r="A6" s="83">
        <v>2</v>
      </c>
      <c r="B6" s="81" t="s">
        <v>291</v>
      </c>
      <c r="C6" s="82" t="s">
        <v>292</v>
      </c>
    </row>
    <row r="8" spans="1:6" ht="15.6" x14ac:dyDescent="0.3">
      <c r="A8" s="83">
        <v>3</v>
      </c>
      <c r="B8" s="81" t="s">
        <v>293</v>
      </c>
      <c r="D8" s="85">
        <v>3000</v>
      </c>
    </row>
    <row r="9" spans="1:6" x14ac:dyDescent="0.25">
      <c r="B9" s="81" t="s">
        <v>283</v>
      </c>
      <c r="C9" s="82">
        <v>145246.5</v>
      </c>
    </row>
    <row r="11" spans="1:6" x14ac:dyDescent="0.25">
      <c r="A11" s="83">
        <v>4</v>
      </c>
      <c r="B11" s="81" t="s">
        <v>286</v>
      </c>
      <c r="C11" s="82">
        <v>27670</v>
      </c>
      <c r="D11" s="84" t="s">
        <v>285</v>
      </c>
      <c r="E11" s="86">
        <v>18000</v>
      </c>
      <c r="F11" s="86">
        <v>9670</v>
      </c>
    </row>
    <row r="13" spans="1:6" x14ac:dyDescent="0.25">
      <c r="A13" s="83">
        <v>5</v>
      </c>
      <c r="B13" s="81" t="s">
        <v>289</v>
      </c>
    </row>
    <row r="14" spans="1:6" x14ac:dyDescent="0.25">
      <c r="B14" s="81" t="s">
        <v>290</v>
      </c>
      <c r="C14" s="82">
        <v>24420</v>
      </c>
    </row>
    <row r="16" spans="1:6" x14ac:dyDescent="0.25">
      <c r="A16" s="83">
        <v>6</v>
      </c>
      <c r="B16" s="81" t="s">
        <v>294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0"/>
  <sheetViews>
    <sheetView zoomScaleNormal="100" workbookViewId="0">
      <selection sqref="A1:G1"/>
    </sheetView>
  </sheetViews>
  <sheetFormatPr defaultRowHeight="13.2" x14ac:dyDescent="0.25"/>
  <cols>
    <col min="4" max="4" width="11.88671875" bestFit="1" customWidth="1"/>
    <col min="7" max="7" width="12.88671875" bestFit="1" customWidth="1"/>
  </cols>
  <sheetData>
    <row r="1" spans="1:8" x14ac:dyDescent="0.25">
      <c r="A1" s="708" t="s">
        <v>90</v>
      </c>
      <c r="B1" s="709"/>
      <c r="C1" s="709"/>
      <c r="D1" s="709"/>
      <c r="E1" s="709"/>
      <c r="F1" s="709"/>
      <c r="G1" s="709"/>
      <c r="H1" s="3"/>
    </row>
    <row r="2" spans="1:8" ht="13.8" thickBot="1" x14ac:dyDescent="0.3">
      <c r="A2" s="710" t="s">
        <v>117</v>
      </c>
      <c r="B2" s="711"/>
      <c r="C2" s="711"/>
      <c r="D2" s="711"/>
      <c r="E2" s="711"/>
      <c r="F2" s="711"/>
      <c r="G2" s="711"/>
      <c r="H2" s="4"/>
    </row>
    <row r="3" spans="1:8" x14ac:dyDescent="0.25">
      <c r="A3" s="8"/>
      <c r="B3" s="9"/>
      <c r="C3" s="9"/>
      <c r="D3" s="9"/>
      <c r="E3" s="9"/>
      <c r="F3" s="9"/>
      <c r="G3" s="9"/>
      <c r="H3" s="3"/>
    </row>
    <row r="4" spans="1:8" x14ac:dyDescent="0.25">
      <c r="A4" s="10" t="s">
        <v>96</v>
      </c>
      <c r="H4" s="11"/>
    </row>
    <row r="5" spans="1:8" x14ac:dyDescent="0.25">
      <c r="A5" s="12"/>
      <c r="H5" s="11"/>
    </row>
    <row r="6" spans="1:8" x14ac:dyDescent="0.25">
      <c r="A6" s="13" t="s">
        <v>122</v>
      </c>
      <c r="G6" s="1">
        <v>1563</v>
      </c>
      <c r="H6" s="11"/>
    </row>
    <row r="7" spans="1:8" x14ac:dyDescent="0.25">
      <c r="A7" s="12"/>
      <c r="H7" s="11"/>
    </row>
    <row r="8" spans="1:8" ht="13.8" thickBot="1" x14ac:dyDescent="0.3">
      <c r="A8" s="13" t="s">
        <v>91</v>
      </c>
      <c r="G8" s="6">
        <v>0</v>
      </c>
      <c r="H8" s="11"/>
    </row>
    <row r="9" spans="1:8" x14ac:dyDescent="0.25">
      <c r="A9" s="12"/>
      <c r="G9" s="2">
        <f>SUM(G6:G8)</f>
        <v>1563</v>
      </c>
      <c r="H9" s="11"/>
    </row>
    <row r="10" spans="1:8" ht="13.8" thickBot="1" x14ac:dyDescent="0.3">
      <c r="A10" s="13" t="s">
        <v>92</v>
      </c>
      <c r="G10" s="6">
        <v>0</v>
      </c>
      <c r="H10" s="11"/>
    </row>
    <row r="11" spans="1:8" ht="13.8" thickBot="1" x14ac:dyDescent="0.3">
      <c r="A11" s="12"/>
      <c r="D11" s="14" t="s">
        <v>93</v>
      </c>
      <c r="G11" s="7">
        <f>SUM(G9-G10)</f>
        <v>1563</v>
      </c>
      <c r="H11" s="11"/>
    </row>
    <row r="12" spans="1:8" x14ac:dyDescent="0.25">
      <c r="A12" s="12"/>
      <c r="H12" s="11"/>
    </row>
    <row r="13" spans="1:8" x14ac:dyDescent="0.25">
      <c r="A13" s="12"/>
      <c r="H13" s="11"/>
    </row>
    <row r="14" spans="1:8" x14ac:dyDescent="0.25">
      <c r="A14" s="13" t="s">
        <v>100</v>
      </c>
      <c r="D14" s="1">
        <v>1563</v>
      </c>
      <c r="E14" s="14">
        <v>365</v>
      </c>
      <c r="F14" s="15" t="s">
        <v>95</v>
      </c>
      <c r="G14" s="16">
        <f>SUM(D14*15%)</f>
        <v>234.45</v>
      </c>
      <c r="H14" s="11"/>
    </row>
    <row r="15" spans="1:8" x14ac:dyDescent="0.25">
      <c r="A15" s="12"/>
      <c r="H15" s="11"/>
    </row>
    <row r="16" spans="1:8" x14ac:dyDescent="0.25">
      <c r="A16" s="12"/>
      <c r="H16" s="11"/>
    </row>
    <row r="17" spans="1:8" ht="13.8" thickBot="1" x14ac:dyDescent="0.3">
      <c r="A17" s="17"/>
      <c r="B17" s="5"/>
      <c r="C17" s="5"/>
      <c r="D17" s="5"/>
      <c r="E17" s="5"/>
      <c r="F17" s="5"/>
      <c r="G17" s="5"/>
      <c r="H17" s="4"/>
    </row>
    <row r="18" spans="1:8" ht="13.8" thickBot="1" x14ac:dyDescent="0.3"/>
    <row r="19" spans="1:8" x14ac:dyDescent="0.25">
      <c r="A19" s="708" t="s">
        <v>90</v>
      </c>
      <c r="B19" s="709"/>
      <c r="C19" s="709"/>
      <c r="D19" s="709"/>
      <c r="E19" s="709"/>
      <c r="F19" s="709"/>
      <c r="G19" s="709"/>
      <c r="H19" s="3"/>
    </row>
    <row r="20" spans="1:8" ht="13.8" thickBot="1" x14ac:dyDescent="0.3">
      <c r="A20" s="710" t="s">
        <v>121</v>
      </c>
      <c r="B20" s="711"/>
      <c r="C20" s="711"/>
      <c r="D20" s="711"/>
      <c r="E20" s="711"/>
      <c r="F20" s="711"/>
      <c r="G20" s="711"/>
      <c r="H20" s="4"/>
    </row>
    <row r="21" spans="1:8" x14ac:dyDescent="0.25">
      <c r="A21" s="8"/>
      <c r="B21" s="9"/>
      <c r="C21" s="9"/>
      <c r="D21" s="9"/>
      <c r="E21" s="9"/>
      <c r="F21" s="9"/>
      <c r="G21" s="9"/>
      <c r="H21" s="3"/>
    </row>
    <row r="22" spans="1:8" x14ac:dyDescent="0.25">
      <c r="A22" s="10" t="s">
        <v>97</v>
      </c>
      <c r="H22" s="11"/>
    </row>
    <row r="23" spans="1:8" x14ac:dyDescent="0.25">
      <c r="A23" s="12"/>
      <c r="H23" s="11"/>
    </row>
    <row r="24" spans="1:8" x14ac:dyDescent="0.25">
      <c r="A24" s="13" t="s">
        <v>122</v>
      </c>
      <c r="G24" s="1">
        <v>894</v>
      </c>
      <c r="H24" s="11"/>
    </row>
    <row r="25" spans="1:8" x14ac:dyDescent="0.25">
      <c r="A25" s="12"/>
      <c r="G25" s="1"/>
      <c r="H25" s="11"/>
    </row>
    <row r="26" spans="1:8" ht="13.8" thickBot="1" x14ac:dyDescent="0.3">
      <c r="A26" s="13" t="s">
        <v>91</v>
      </c>
      <c r="G26" s="6">
        <v>4056</v>
      </c>
      <c r="H26" s="11"/>
    </row>
    <row r="27" spans="1:8" x14ac:dyDescent="0.25">
      <c r="A27" s="12"/>
      <c r="G27" s="2">
        <f>SUM(G24:G26)</f>
        <v>4950</v>
      </c>
      <c r="H27" s="11"/>
    </row>
    <row r="28" spans="1:8" ht="13.8" thickBot="1" x14ac:dyDescent="0.3">
      <c r="A28" s="13" t="s">
        <v>92</v>
      </c>
      <c r="G28" s="6">
        <v>0</v>
      </c>
      <c r="H28" s="11"/>
    </row>
    <row r="29" spans="1:8" ht="13.8" thickBot="1" x14ac:dyDescent="0.3">
      <c r="A29" s="12"/>
      <c r="D29" s="14" t="s">
        <v>93</v>
      </c>
      <c r="G29" s="7">
        <f>SUM(G27-G28)</f>
        <v>4950</v>
      </c>
      <c r="H29" s="11"/>
    </row>
    <row r="30" spans="1:8" x14ac:dyDescent="0.25">
      <c r="A30" s="12"/>
      <c r="H30" s="11"/>
    </row>
    <row r="31" spans="1:8" x14ac:dyDescent="0.25">
      <c r="A31" s="12"/>
      <c r="H31" s="11"/>
    </row>
    <row r="32" spans="1:8" x14ac:dyDescent="0.25">
      <c r="A32" s="13" t="s">
        <v>101</v>
      </c>
      <c r="D32" s="1">
        <v>894</v>
      </c>
      <c r="E32" s="14">
        <v>365</v>
      </c>
      <c r="F32" s="15" t="s">
        <v>95</v>
      </c>
      <c r="G32" s="16">
        <f>SUM(D32*60%)</f>
        <v>536.4</v>
      </c>
      <c r="H32" s="11"/>
    </row>
    <row r="33" spans="1:8" ht="13.8" thickBot="1" x14ac:dyDescent="0.3">
      <c r="A33" s="13" t="s">
        <v>101</v>
      </c>
      <c r="D33" s="1">
        <v>4056</v>
      </c>
      <c r="E33" s="14">
        <v>22</v>
      </c>
      <c r="F33" s="15" t="s">
        <v>95</v>
      </c>
      <c r="G33" s="19">
        <f>SUM(D33*60%/365*22)</f>
        <v>146.68273972602739</v>
      </c>
      <c r="H33" s="11"/>
    </row>
    <row r="34" spans="1:8" ht="13.8" thickBot="1" x14ac:dyDescent="0.3">
      <c r="A34" s="12"/>
      <c r="G34" s="20">
        <f>SUM(G32:G33)</f>
        <v>683.0827397260274</v>
      </c>
      <c r="H34" s="11"/>
    </row>
    <row r="35" spans="1:8" ht="13.8" thickBot="1" x14ac:dyDescent="0.3">
      <c r="A35" s="17"/>
      <c r="B35" s="5"/>
      <c r="C35" s="5"/>
      <c r="D35" s="5"/>
      <c r="E35" s="5"/>
      <c r="F35" s="5"/>
      <c r="G35" s="5"/>
      <c r="H35" s="4"/>
    </row>
    <row r="36" spans="1:8" ht="13.8" thickBot="1" x14ac:dyDescent="0.3"/>
    <row r="37" spans="1:8" x14ac:dyDescent="0.25">
      <c r="A37" s="708" t="s">
        <v>90</v>
      </c>
      <c r="B37" s="709"/>
      <c r="C37" s="709"/>
      <c r="D37" s="709"/>
      <c r="E37" s="709"/>
      <c r="F37" s="709"/>
      <c r="G37" s="709"/>
      <c r="H37" s="3"/>
    </row>
    <row r="38" spans="1:8" ht="13.8" thickBot="1" x14ac:dyDescent="0.3">
      <c r="A38" s="710" t="s">
        <v>121</v>
      </c>
      <c r="B38" s="711"/>
      <c r="C38" s="711"/>
      <c r="D38" s="711"/>
      <c r="E38" s="711"/>
      <c r="F38" s="711"/>
      <c r="G38" s="711"/>
      <c r="H38" s="4"/>
    </row>
    <row r="39" spans="1:8" x14ac:dyDescent="0.25">
      <c r="A39" s="8"/>
      <c r="B39" s="9"/>
      <c r="C39" s="9"/>
      <c r="D39" s="9"/>
      <c r="E39" s="9"/>
      <c r="F39" s="9"/>
      <c r="G39" s="9"/>
      <c r="H39" s="3"/>
    </row>
    <row r="40" spans="1:8" x14ac:dyDescent="0.25">
      <c r="A40" s="10" t="s">
        <v>98</v>
      </c>
      <c r="H40" s="11"/>
    </row>
    <row r="41" spans="1:8" x14ac:dyDescent="0.25">
      <c r="A41" s="12"/>
      <c r="H41" s="11"/>
    </row>
    <row r="42" spans="1:8" x14ac:dyDescent="0.25">
      <c r="A42" s="13" t="s">
        <v>122</v>
      </c>
      <c r="G42" s="1">
        <v>134730</v>
      </c>
      <c r="H42" s="11"/>
    </row>
    <row r="43" spans="1:8" x14ac:dyDescent="0.25">
      <c r="A43" s="12"/>
      <c r="H43" s="11"/>
    </row>
    <row r="44" spans="1:8" ht="13.8" thickBot="1" x14ac:dyDescent="0.3">
      <c r="A44" s="13" t="s">
        <v>91</v>
      </c>
      <c r="G44" s="6">
        <v>0</v>
      </c>
      <c r="H44" s="11"/>
    </row>
    <row r="45" spans="1:8" x14ac:dyDescent="0.25">
      <c r="A45" s="12"/>
      <c r="G45" s="2">
        <f>SUM(G42:G44)</f>
        <v>134730</v>
      </c>
      <c r="H45" s="11"/>
    </row>
    <row r="46" spans="1:8" ht="13.8" thickBot="1" x14ac:dyDescent="0.3">
      <c r="A46" s="13" t="s">
        <v>92</v>
      </c>
      <c r="G46" s="6">
        <v>0</v>
      </c>
      <c r="H46" s="11"/>
    </row>
    <row r="47" spans="1:8" ht="13.8" thickBot="1" x14ac:dyDescent="0.3">
      <c r="A47" s="12"/>
      <c r="D47" s="14" t="s">
        <v>93</v>
      </c>
      <c r="G47" s="7">
        <f>SUM(G45-G46)</f>
        <v>134730</v>
      </c>
      <c r="H47" s="11"/>
    </row>
    <row r="48" spans="1:8" x14ac:dyDescent="0.25">
      <c r="A48" s="12"/>
      <c r="H48" s="11"/>
    </row>
    <row r="49" spans="1:8" x14ac:dyDescent="0.25">
      <c r="A49" s="12"/>
      <c r="H49" s="11"/>
    </row>
    <row r="50" spans="1:8" x14ac:dyDescent="0.25">
      <c r="A50" s="13" t="s">
        <v>94</v>
      </c>
      <c r="D50" s="1">
        <v>134730</v>
      </c>
      <c r="E50" s="14">
        <v>365</v>
      </c>
      <c r="F50" s="15" t="s">
        <v>95</v>
      </c>
      <c r="G50" s="16">
        <f>SUM(D50*10%)</f>
        <v>13473</v>
      </c>
      <c r="H50" s="11"/>
    </row>
    <row r="51" spans="1:8" x14ac:dyDescent="0.25">
      <c r="A51" s="12"/>
      <c r="H51" s="11"/>
    </row>
    <row r="52" spans="1:8" x14ac:dyDescent="0.25">
      <c r="A52" s="12"/>
      <c r="H52" s="11"/>
    </row>
    <row r="53" spans="1:8" ht="13.8" thickBot="1" x14ac:dyDescent="0.3">
      <c r="A53" s="17"/>
      <c r="B53" s="5"/>
      <c r="C53" s="5"/>
      <c r="D53" s="5"/>
      <c r="E53" s="5"/>
      <c r="F53" s="5"/>
      <c r="G53" s="5"/>
      <c r="H53" s="4"/>
    </row>
    <row r="54" spans="1:8" ht="13.8" thickBot="1" x14ac:dyDescent="0.3"/>
    <row r="55" spans="1:8" x14ac:dyDescent="0.25">
      <c r="A55" s="708" t="s">
        <v>90</v>
      </c>
      <c r="B55" s="709"/>
      <c r="C55" s="709"/>
      <c r="D55" s="709"/>
      <c r="E55" s="709"/>
      <c r="F55" s="709"/>
      <c r="G55" s="709"/>
      <c r="H55" s="3"/>
    </row>
    <row r="56" spans="1:8" ht="13.8" thickBot="1" x14ac:dyDescent="0.3">
      <c r="A56" s="710" t="s">
        <v>121</v>
      </c>
      <c r="B56" s="711"/>
      <c r="C56" s="711"/>
      <c r="D56" s="711"/>
      <c r="E56" s="711"/>
      <c r="F56" s="711"/>
      <c r="G56" s="711"/>
      <c r="H56" s="4"/>
    </row>
    <row r="57" spans="1:8" x14ac:dyDescent="0.25">
      <c r="A57" s="8"/>
      <c r="B57" s="9"/>
      <c r="C57" s="9"/>
      <c r="D57" s="9"/>
      <c r="E57" s="9"/>
      <c r="F57" s="9"/>
      <c r="G57" s="9"/>
      <c r="H57" s="3"/>
    </row>
    <row r="58" spans="1:8" x14ac:dyDescent="0.25">
      <c r="A58" s="10" t="s">
        <v>99</v>
      </c>
      <c r="H58" s="11"/>
    </row>
    <row r="59" spans="1:8" x14ac:dyDescent="0.25">
      <c r="A59" s="12"/>
      <c r="H59" s="11"/>
    </row>
    <row r="60" spans="1:8" x14ac:dyDescent="0.25">
      <c r="A60" s="13" t="s">
        <v>122</v>
      </c>
      <c r="G60" s="1">
        <v>110662</v>
      </c>
      <c r="H60" s="11"/>
    </row>
    <row r="61" spans="1:8" x14ac:dyDescent="0.25">
      <c r="A61" s="12"/>
      <c r="H61" s="11"/>
    </row>
    <row r="62" spans="1:8" ht="13.8" thickBot="1" x14ac:dyDescent="0.3">
      <c r="A62" s="13" t="s">
        <v>91</v>
      </c>
      <c r="G62" s="6"/>
      <c r="H62" s="11"/>
    </row>
    <row r="63" spans="1:8" x14ac:dyDescent="0.25">
      <c r="A63" s="12"/>
      <c r="G63" s="2">
        <f>SUM(G60:G62)</f>
        <v>110662</v>
      </c>
      <c r="H63" s="11"/>
    </row>
    <row r="64" spans="1:8" ht="13.8" thickBot="1" x14ac:dyDescent="0.3">
      <c r="A64" s="13" t="s">
        <v>92</v>
      </c>
      <c r="G64" s="6">
        <v>0</v>
      </c>
      <c r="H64" s="11"/>
    </row>
    <row r="65" spans="1:8" ht="13.8" thickBot="1" x14ac:dyDescent="0.3">
      <c r="A65" s="12"/>
      <c r="D65" s="14" t="s">
        <v>93</v>
      </c>
      <c r="G65" s="7">
        <f>SUM(G63-G64)</f>
        <v>110662</v>
      </c>
      <c r="H65" s="11"/>
    </row>
    <row r="66" spans="1:8" x14ac:dyDescent="0.25">
      <c r="A66" s="12"/>
      <c r="H66" s="11"/>
    </row>
    <row r="67" spans="1:8" x14ac:dyDescent="0.25">
      <c r="A67" s="12"/>
      <c r="H67" s="11"/>
    </row>
    <row r="68" spans="1:8" x14ac:dyDescent="0.25">
      <c r="A68" s="13" t="s">
        <v>100</v>
      </c>
      <c r="D68" s="18">
        <v>110662</v>
      </c>
      <c r="E68" s="14">
        <v>365</v>
      </c>
      <c r="F68" s="15" t="s">
        <v>95</v>
      </c>
      <c r="G68" s="16">
        <f>SUM(D68*15%)</f>
        <v>16599.3</v>
      </c>
      <c r="H68" s="11"/>
    </row>
    <row r="69" spans="1:8" x14ac:dyDescent="0.25">
      <c r="A69" s="12"/>
      <c r="H69" s="11"/>
    </row>
    <row r="70" spans="1:8" ht="13.8" thickBot="1" x14ac:dyDescent="0.3">
      <c r="A70" s="17"/>
      <c r="B70" s="5"/>
      <c r="C70" s="5"/>
      <c r="D70" s="5"/>
      <c r="E70" s="5"/>
      <c r="F70" s="5"/>
      <c r="G70" s="5"/>
      <c r="H70" s="4"/>
    </row>
  </sheetData>
  <mergeCells count="8">
    <mergeCell ref="A55:G55"/>
    <mergeCell ref="A56:G56"/>
    <mergeCell ref="A1:G1"/>
    <mergeCell ref="A2:G2"/>
    <mergeCell ref="A19:G19"/>
    <mergeCell ref="A20:G20"/>
    <mergeCell ref="A37:G37"/>
    <mergeCell ref="A38:G38"/>
  </mergeCells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81"/>
  <sheetViews>
    <sheetView topLeftCell="B1" zoomScaleNormal="100" workbookViewId="0">
      <selection activeCell="H30" sqref="H30"/>
    </sheetView>
  </sheetViews>
  <sheetFormatPr defaultRowHeight="13.2" x14ac:dyDescent="0.25"/>
  <cols>
    <col min="1" max="1" width="5" hidden="1" customWidth="1"/>
    <col min="2" max="2" width="15.44140625" bestFit="1" customWidth="1"/>
    <col min="3" max="8" width="13" customWidth="1"/>
    <col min="9" max="15" width="13.44140625" customWidth="1"/>
    <col min="16" max="16" width="12.88671875" bestFit="1" customWidth="1"/>
    <col min="17" max="17" width="11.33203125" customWidth="1"/>
    <col min="18" max="18" width="13.88671875" customWidth="1"/>
    <col min="19" max="19" width="13" customWidth="1"/>
    <col min="20" max="20" width="10.88671875" customWidth="1"/>
  </cols>
  <sheetData>
    <row r="1" spans="1:18" x14ac:dyDescent="0.25">
      <c r="A1" s="708" t="s">
        <v>90</v>
      </c>
      <c r="B1" s="709"/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3"/>
    </row>
    <row r="2" spans="1:18" ht="13.8" thickBot="1" x14ac:dyDescent="0.3">
      <c r="A2" s="712" t="s">
        <v>182</v>
      </c>
      <c r="B2" s="713"/>
      <c r="C2" s="713"/>
      <c r="D2" s="713"/>
      <c r="E2" s="713"/>
      <c r="F2" s="713"/>
      <c r="G2" s="713"/>
      <c r="H2" s="713"/>
      <c r="I2" s="713"/>
      <c r="J2" s="713"/>
      <c r="K2" s="713"/>
      <c r="L2" s="713"/>
      <c r="M2" s="713"/>
      <c r="N2" s="713"/>
      <c r="O2" s="713"/>
      <c r="P2" s="713"/>
      <c r="Q2" s="11"/>
    </row>
    <row r="3" spans="1:18" ht="13.8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3"/>
      <c r="R3" s="3"/>
    </row>
    <row r="4" spans="1:18" x14ac:dyDescent="0.25">
      <c r="A4" s="24" t="s">
        <v>102</v>
      </c>
      <c r="B4" s="25" t="s">
        <v>103</v>
      </c>
      <c r="C4" s="25" t="s">
        <v>104</v>
      </c>
      <c r="D4" s="71">
        <v>42551</v>
      </c>
      <c r="E4" s="25" t="s">
        <v>145</v>
      </c>
      <c r="F4" s="73" t="s">
        <v>196</v>
      </c>
      <c r="G4" s="76">
        <v>42734</v>
      </c>
      <c r="H4" s="25" t="s">
        <v>146</v>
      </c>
      <c r="I4" s="25" t="s">
        <v>123</v>
      </c>
      <c r="J4" s="25" t="s">
        <v>149</v>
      </c>
      <c r="K4" s="25" t="s">
        <v>150</v>
      </c>
      <c r="L4" s="25" t="s">
        <v>153</v>
      </c>
      <c r="M4" s="25" t="s">
        <v>125</v>
      </c>
      <c r="N4" s="25" t="s">
        <v>155</v>
      </c>
      <c r="O4" s="25" t="s">
        <v>128</v>
      </c>
      <c r="P4" s="25" t="s">
        <v>84</v>
      </c>
      <c r="Q4" s="40" t="s">
        <v>113</v>
      </c>
      <c r="R4" s="48" t="s">
        <v>93</v>
      </c>
    </row>
    <row r="5" spans="1:18" ht="13.8" thickBot="1" x14ac:dyDescent="0.3">
      <c r="A5" s="26"/>
      <c r="B5" s="27"/>
      <c r="C5" s="27" t="s">
        <v>105</v>
      </c>
      <c r="D5" s="27"/>
      <c r="E5" s="27"/>
      <c r="F5" s="74" t="s">
        <v>198</v>
      </c>
      <c r="G5" s="28"/>
      <c r="H5" s="28" t="s">
        <v>147</v>
      </c>
      <c r="I5" s="28" t="s">
        <v>124</v>
      </c>
      <c r="J5" s="28"/>
      <c r="K5" s="28" t="s">
        <v>151</v>
      </c>
      <c r="L5" s="28" t="s">
        <v>154</v>
      </c>
      <c r="M5" s="28" t="s">
        <v>126</v>
      </c>
      <c r="N5" s="28"/>
      <c r="O5" s="28" t="s">
        <v>127</v>
      </c>
      <c r="P5" s="27" t="s">
        <v>106</v>
      </c>
      <c r="Q5" s="41" t="s">
        <v>114</v>
      </c>
      <c r="R5" s="49"/>
    </row>
    <row r="6" spans="1:18" x14ac:dyDescent="0.25">
      <c r="A6" s="50"/>
      <c r="B6" s="31"/>
      <c r="C6" s="31"/>
      <c r="D6" s="31"/>
      <c r="E6" s="31"/>
      <c r="F6" s="75" t="s">
        <v>197</v>
      </c>
      <c r="G6" s="31"/>
      <c r="H6" s="31"/>
      <c r="I6" s="31"/>
      <c r="J6" s="31"/>
      <c r="K6" s="31"/>
      <c r="L6" s="31"/>
      <c r="M6" s="31"/>
      <c r="N6" s="31"/>
      <c r="O6" s="31"/>
      <c r="P6" s="34"/>
      <c r="Q6" s="45"/>
      <c r="R6" s="51"/>
    </row>
    <row r="7" spans="1:18" x14ac:dyDescent="0.25">
      <c r="A7" s="52"/>
      <c r="B7" s="62"/>
      <c r="C7" s="36"/>
      <c r="D7" s="36"/>
      <c r="E7" s="36"/>
      <c r="F7" s="36"/>
      <c r="G7" s="36"/>
      <c r="H7" s="36"/>
      <c r="I7" s="22"/>
      <c r="J7" s="22"/>
      <c r="K7" s="22"/>
      <c r="L7" s="22"/>
      <c r="M7" s="22"/>
      <c r="N7" s="22"/>
      <c r="O7" s="22"/>
      <c r="P7" s="59"/>
      <c r="Q7" s="42"/>
      <c r="R7" s="48"/>
    </row>
    <row r="8" spans="1:18" s="70" customFormat="1" x14ac:dyDescent="0.25">
      <c r="A8" s="64"/>
      <c r="B8" s="65" t="s">
        <v>184</v>
      </c>
      <c r="C8" s="66">
        <v>500000</v>
      </c>
      <c r="D8" s="66"/>
      <c r="E8" s="66"/>
      <c r="F8" s="72">
        <v>12989</v>
      </c>
      <c r="G8" s="66"/>
      <c r="H8" s="66"/>
      <c r="I8" s="66"/>
      <c r="J8" s="66"/>
      <c r="K8" s="66"/>
      <c r="L8" s="66"/>
      <c r="M8" s="66"/>
      <c r="N8" s="66"/>
      <c r="O8" s="66"/>
      <c r="P8" s="67"/>
      <c r="Q8" s="68"/>
      <c r="R8" s="69"/>
    </row>
    <row r="9" spans="1:18" s="70" customFormat="1" x14ac:dyDescent="0.25">
      <c r="A9" s="64"/>
      <c r="B9" s="65" t="s">
        <v>183</v>
      </c>
      <c r="C9" s="66">
        <v>500000</v>
      </c>
      <c r="D9" s="66"/>
      <c r="E9" s="66"/>
      <c r="F9" s="72">
        <v>12989</v>
      </c>
      <c r="G9" s="66" t="s">
        <v>199</v>
      </c>
      <c r="H9" s="66"/>
      <c r="I9" s="66"/>
      <c r="J9" s="66"/>
      <c r="K9" s="66"/>
      <c r="L9" s="66"/>
      <c r="M9" s="66"/>
      <c r="N9" s="66"/>
      <c r="O9" s="66"/>
      <c r="P9" s="67"/>
      <c r="Q9" s="68"/>
      <c r="R9" s="69"/>
    </row>
    <row r="10" spans="1:18" s="70" customFormat="1" x14ac:dyDescent="0.25">
      <c r="A10" s="64"/>
      <c r="B10" s="65" t="s">
        <v>185</v>
      </c>
      <c r="C10" s="66">
        <v>500000</v>
      </c>
      <c r="D10" s="66"/>
      <c r="E10" s="66"/>
      <c r="F10" s="72">
        <v>12989</v>
      </c>
      <c r="G10" s="66"/>
      <c r="H10" s="66"/>
      <c r="I10" s="66"/>
      <c r="J10" s="66"/>
      <c r="K10" s="66"/>
      <c r="L10" s="66"/>
      <c r="M10" s="66"/>
      <c r="N10" s="66"/>
      <c r="O10" s="66"/>
      <c r="P10" s="67"/>
      <c r="Q10" s="68"/>
      <c r="R10" s="69"/>
    </row>
    <row r="11" spans="1:18" s="70" customFormat="1" x14ac:dyDescent="0.25">
      <c r="A11" s="64"/>
      <c r="B11" s="65" t="s">
        <v>193</v>
      </c>
      <c r="C11" s="66">
        <v>1291075</v>
      </c>
      <c r="D11" s="66"/>
      <c r="E11" s="66"/>
      <c r="F11" s="72">
        <v>61358</v>
      </c>
      <c r="G11" s="66"/>
      <c r="H11" s="66"/>
      <c r="I11" s="66"/>
      <c r="J11" s="66"/>
      <c r="K11" s="66"/>
      <c r="L11" s="66"/>
      <c r="M11" s="66"/>
      <c r="N11" s="66"/>
      <c r="O11" s="66"/>
      <c r="P11" s="67"/>
      <c r="Q11" s="68"/>
      <c r="R11" s="69"/>
    </row>
    <row r="12" spans="1:18" s="70" customFormat="1" x14ac:dyDescent="0.25">
      <c r="A12" s="64"/>
      <c r="B12" s="65" t="s">
        <v>194</v>
      </c>
      <c r="C12" s="66">
        <v>2411546</v>
      </c>
      <c r="D12" s="66"/>
      <c r="E12" s="66"/>
      <c r="F12" s="72">
        <v>114609</v>
      </c>
      <c r="G12" s="66"/>
      <c r="H12" s="66"/>
      <c r="I12" s="66"/>
      <c r="J12" s="66"/>
      <c r="K12" s="66"/>
      <c r="L12" s="66"/>
      <c r="M12" s="66"/>
      <c r="N12" s="66"/>
      <c r="O12" s="66"/>
      <c r="P12" s="67"/>
      <c r="Q12" s="68"/>
      <c r="R12" s="69"/>
    </row>
    <row r="13" spans="1:18" s="70" customFormat="1" x14ac:dyDescent="0.25">
      <c r="A13" s="64"/>
      <c r="B13" s="65"/>
      <c r="C13" s="66"/>
      <c r="D13" s="66"/>
      <c r="E13" s="66"/>
      <c r="F13" s="72"/>
      <c r="G13" s="66"/>
      <c r="H13" s="66"/>
      <c r="I13" s="66"/>
      <c r="J13" s="66"/>
      <c r="K13" s="66"/>
      <c r="L13" s="66"/>
      <c r="M13" s="66"/>
      <c r="N13" s="66"/>
      <c r="O13" s="66"/>
      <c r="P13" s="67"/>
      <c r="Q13" s="68"/>
      <c r="R13" s="69"/>
    </row>
    <row r="14" spans="1:18" s="70" customFormat="1" x14ac:dyDescent="0.25">
      <c r="A14" s="64"/>
      <c r="B14" s="65" t="s">
        <v>192</v>
      </c>
      <c r="C14" s="66">
        <v>107692</v>
      </c>
      <c r="D14" s="66">
        <v>23821</v>
      </c>
      <c r="E14" s="66"/>
      <c r="F14" s="72">
        <v>47642</v>
      </c>
      <c r="G14" s="77">
        <v>23821</v>
      </c>
      <c r="H14" s="66"/>
      <c r="I14" s="66"/>
      <c r="J14" s="66"/>
      <c r="K14" s="66"/>
      <c r="L14" s="66"/>
      <c r="M14" s="66"/>
      <c r="N14" s="66"/>
      <c r="O14" s="66"/>
      <c r="P14" s="67"/>
      <c r="Q14" s="68"/>
      <c r="R14" s="69"/>
    </row>
    <row r="15" spans="1:18" s="70" customFormat="1" x14ac:dyDescent="0.25">
      <c r="A15" s="64"/>
      <c r="B15" s="65" t="s">
        <v>187</v>
      </c>
      <c r="C15" s="66">
        <v>135000</v>
      </c>
      <c r="D15" s="66">
        <v>2986</v>
      </c>
      <c r="E15" s="66"/>
      <c r="F15" s="72">
        <v>5972</v>
      </c>
      <c r="G15" s="77">
        <v>2986</v>
      </c>
      <c r="H15" s="66"/>
      <c r="I15" s="66"/>
      <c r="J15" s="66"/>
      <c r="K15" s="66"/>
      <c r="L15" s="66"/>
      <c r="M15" s="66"/>
      <c r="N15" s="66"/>
      <c r="O15" s="66"/>
      <c r="P15" s="67"/>
      <c r="Q15" s="68"/>
      <c r="R15" s="69"/>
    </row>
    <row r="16" spans="1:18" s="70" customFormat="1" x14ac:dyDescent="0.25">
      <c r="A16" s="64"/>
      <c r="B16" s="65" t="s">
        <v>188</v>
      </c>
      <c r="C16" s="66">
        <v>85113</v>
      </c>
      <c r="D16" s="66">
        <v>1883</v>
      </c>
      <c r="E16" s="66"/>
      <c r="F16" s="72">
        <v>3766</v>
      </c>
      <c r="G16" s="77">
        <v>1883</v>
      </c>
      <c r="H16" s="66"/>
      <c r="I16" s="66"/>
      <c r="J16" s="66"/>
      <c r="K16" s="66"/>
      <c r="L16" s="66"/>
      <c r="M16" s="66"/>
      <c r="N16" s="66"/>
      <c r="O16" s="66"/>
      <c r="P16" s="67"/>
      <c r="Q16" s="68"/>
      <c r="R16" s="69"/>
    </row>
    <row r="17" spans="1:20" s="70" customFormat="1" x14ac:dyDescent="0.25">
      <c r="A17" s="64"/>
      <c r="B17" s="65" t="s">
        <v>189</v>
      </c>
      <c r="C17" s="66">
        <v>20001</v>
      </c>
      <c r="D17" s="66">
        <v>442</v>
      </c>
      <c r="E17" s="66"/>
      <c r="F17" s="72">
        <v>884</v>
      </c>
      <c r="G17" s="77">
        <v>442</v>
      </c>
      <c r="H17" s="66"/>
      <c r="I17" s="66"/>
      <c r="J17" s="66"/>
      <c r="K17" s="66"/>
      <c r="L17" s="66"/>
      <c r="M17" s="66"/>
      <c r="N17" s="66"/>
      <c r="O17" s="66"/>
      <c r="P17" s="67"/>
      <c r="Q17" s="68"/>
      <c r="R17" s="69"/>
    </row>
    <row r="18" spans="1:20" s="70" customFormat="1" x14ac:dyDescent="0.25">
      <c r="A18" s="64"/>
      <c r="B18" s="65" t="s">
        <v>190</v>
      </c>
      <c r="C18" s="66">
        <v>2000</v>
      </c>
      <c r="D18" s="66">
        <v>44</v>
      </c>
      <c r="E18" s="66"/>
      <c r="F18" s="72">
        <v>88</v>
      </c>
      <c r="G18" s="77">
        <v>44</v>
      </c>
      <c r="H18" s="66"/>
      <c r="I18" s="66"/>
      <c r="J18" s="66"/>
      <c r="K18" s="66"/>
      <c r="L18" s="66"/>
      <c r="M18" s="66"/>
      <c r="N18" s="66"/>
      <c r="O18" s="66"/>
      <c r="P18" s="67"/>
      <c r="Q18" s="68"/>
      <c r="R18" s="69"/>
    </row>
    <row r="19" spans="1:20" s="70" customFormat="1" x14ac:dyDescent="0.25">
      <c r="A19" s="64"/>
      <c r="B19" s="65" t="s">
        <v>191</v>
      </c>
      <c r="C19" s="66">
        <v>500000</v>
      </c>
      <c r="D19" s="66">
        <v>10750</v>
      </c>
      <c r="E19" s="66"/>
      <c r="F19" s="72">
        <v>21500</v>
      </c>
      <c r="G19" s="78" t="s">
        <v>200</v>
      </c>
      <c r="H19" s="66"/>
      <c r="I19" s="66"/>
      <c r="J19" s="66"/>
      <c r="K19" s="66"/>
      <c r="L19" s="66"/>
      <c r="M19" s="66"/>
      <c r="N19" s="66"/>
      <c r="O19" s="66"/>
      <c r="P19" s="67"/>
      <c r="Q19" s="68"/>
      <c r="R19" s="69"/>
    </row>
    <row r="20" spans="1:20" s="70" customFormat="1" x14ac:dyDescent="0.25">
      <c r="A20" s="64"/>
      <c r="B20" s="65" t="s">
        <v>195</v>
      </c>
      <c r="C20" s="66">
        <v>300000</v>
      </c>
      <c r="D20" s="66"/>
      <c r="E20" s="66"/>
      <c r="F20" s="72">
        <v>12374</v>
      </c>
      <c r="G20" s="77">
        <v>6187</v>
      </c>
      <c r="H20" s="66"/>
      <c r="I20" s="66"/>
      <c r="J20" s="66"/>
      <c r="K20" s="66"/>
      <c r="L20" s="66"/>
      <c r="M20" s="66"/>
      <c r="N20" s="66"/>
      <c r="O20" s="66"/>
      <c r="P20" s="67"/>
      <c r="Q20" s="68"/>
      <c r="R20" s="69"/>
    </row>
    <row r="21" spans="1:20" s="70" customFormat="1" x14ac:dyDescent="0.25">
      <c r="A21" s="64"/>
      <c r="B21" s="65"/>
      <c r="C21" s="66"/>
      <c r="D21" s="66"/>
      <c r="E21" s="66"/>
      <c r="F21" s="72">
        <f>SUM(F8:F20)</f>
        <v>307160</v>
      </c>
      <c r="G21" s="77">
        <f>SUM(G8:G20)</f>
        <v>35363</v>
      </c>
      <c r="H21" s="66"/>
      <c r="I21" s="66"/>
      <c r="J21" s="66"/>
      <c r="K21" s="66"/>
      <c r="L21" s="66"/>
      <c r="M21" s="66"/>
      <c r="N21" s="66"/>
      <c r="O21" s="66"/>
      <c r="P21" s="67"/>
      <c r="Q21" s="68"/>
      <c r="R21" s="69"/>
    </row>
    <row r="22" spans="1:20" s="70" customFormat="1" x14ac:dyDescent="0.25">
      <c r="A22" s="64"/>
      <c r="B22" s="65"/>
      <c r="C22" s="66"/>
      <c r="D22" s="66"/>
      <c r="E22" s="66"/>
      <c r="F22" s="66">
        <v>307100</v>
      </c>
      <c r="G22" s="66"/>
      <c r="H22" s="66"/>
      <c r="I22" s="66"/>
      <c r="J22" s="66"/>
      <c r="K22" s="66"/>
      <c r="L22" s="66"/>
      <c r="M22" s="66"/>
      <c r="N22" s="66"/>
      <c r="O22" s="66"/>
      <c r="P22" s="67"/>
      <c r="Q22" s="68"/>
      <c r="R22" s="69"/>
    </row>
    <row r="23" spans="1:20" x14ac:dyDescent="0.25">
      <c r="A23" s="52"/>
      <c r="B23" s="62"/>
      <c r="C23" s="36"/>
      <c r="D23" s="36"/>
      <c r="E23" s="36"/>
      <c r="F23" s="72">
        <f>F22-F21</f>
        <v>-60</v>
      </c>
      <c r="G23" s="36"/>
      <c r="H23" s="36"/>
      <c r="I23" s="22"/>
      <c r="J23" s="22"/>
      <c r="K23" s="22"/>
      <c r="L23" s="22"/>
      <c r="M23" s="22"/>
      <c r="N23" s="22"/>
      <c r="O23" s="22"/>
      <c r="P23" s="59"/>
      <c r="Q23" s="42"/>
      <c r="R23" s="48"/>
    </row>
    <row r="24" spans="1:20" x14ac:dyDescent="0.25">
      <c r="A24" s="55"/>
      <c r="B24" s="63" t="s">
        <v>157</v>
      </c>
      <c r="C24" s="38">
        <v>227408</v>
      </c>
      <c r="D24" s="38"/>
      <c r="E24" s="38"/>
      <c r="F24" s="38"/>
      <c r="G24" s="38"/>
      <c r="H24" s="38"/>
      <c r="I24" s="33"/>
      <c r="J24" s="33"/>
      <c r="K24" s="33"/>
      <c r="L24" s="33"/>
      <c r="M24" s="33"/>
      <c r="N24" s="33"/>
      <c r="O24" s="39"/>
      <c r="P24" s="59">
        <f>SUM(D24:O24)</f>
        <v>0</v>
      </c>
      <c r="Q24" s="43">
        <v>21470</v>
      </c>
      <c r="R24" s="48"/>
    </row>
    <row r="25" spans="1:20" x14ac:dyDescent="0.25">
      <c r="A25" s="55"/>
      <c r="B25" s="37" t="s">
        <v>157</v>
      </c>
      <c r="C25" s="38">
        <v>227408</v>
      </c>
      <c r="D25" s="38"/>
      <c r="E25" s="38"/>
      <c r="F25" s="38"/>
      <c r="G25" s="38"/>
      <c r="H25" s="38"/>
      <c r="I25" s="33"/>
      <c r="J25" s="33"/>
      <c r="K25" s="33"/>
      <c r="L25" s="33"/>
      <c r="M25" s="33"/>
      <c r="N25" s="33"/>
      <c r="O25" s="39"/>
      <c r="P25" s="59">
        <f>SUM(D25:O25)</f>
        <v>0</v>
      </c>
      <c r="Q25" s="43">
        <v>21470</v>
      </c>
      <c r="R25" s="48"/>
    </row>
    <row r="26" spans="1:20" x14ac:dyDescent="0.25">
      <c r="A26" s="52">
        <v>1</v>
      </c>
      <c r="B26" s="62" t="s">
        <v>184</v>
      </c>
      <c r="C26" s="36">
        <v>500000</v>
      </c>
      <c r="D26" s="36"/>
      <c r="E26" s="36"/>
      <c r="F26" s="36">
        <v>0</v>
      </c>
      <c r="G26" s="36"/>
      <c r="H26" s="36"/>
      <c r="I26" s="22"/>
      <c r="J26" s="22"/>
      <c r="K26" s="22"/>
      <c r="L26" s="22"/>
      <c r="M26" s="22"/>
      <c r="N26" s="22"/>
      <c r="O26" s="22"/>
      <c r="P26" s="59">
        <f>SUM(D26:O26)</f>
        <v>0</v>
      </c>
      <c r="Q26" s="43"/>
      <c r="R26" s="54">
        <f>SUM(P26:Q26)</f>
        <v>0</v>
      </c>
      <c r="T26">
        <v>8726</v>
      </c>
    </row>
    <row r="27" spans="1:20" x14ac:dyDescent="0.25">
      <c r="A27" s="52"/>
      <c r="B27" s="62" t="s">
        <v>183</v>
      </c>
      <c r="C27" s="36">
        <v>500000</v>
      </c>
      <c r="D27" s="36"/>
      <c r="E27" s="36">
        <v>3932</v>
      </c>
      <c r="F27" s="36">
        <v>0</v>
      </c>
      <c r="G27" s="36"/>
      <c r="H27" s="36"/>
      <c r="I27" s="22"/>
      <c r="J27" s="22"/>
      <c r="K27" s="22"/>
      <c r="L27" s="22"/>
      <c r="M27" s="22"/>
      <c r="N27" s="22"/>
      <c r="O27" s="22"/>
      <c r="P27" s="59">
        <f>SUM(D27:O27)</f>
        <v>3932</v>
      </c>
      <c r="Q27" s="42"/>
      <c r="R27" s="48"/>
      <c r="T27">
        <v>17452</v>
      </c>
    </row>
    <row r="28" spans="1:20" x14ac:dyDescent="0.25">
      <c r="A28" s="52"/>
      <c r="B28" s="62" t="s">
        <v>185</v>
      </c>
      <c r="C28" s="36">
        <v>500000</v>
      </c>
      <c r="D28" s="36"/>
      <c r="E28" s="36">
        <v>6713</v>
      </c>
      <c r="F28" s="36">
        <v>0</v>
      </c>
      <c r="G28" s="36"/>
      <c r="H28" s="36"/>
      <c r="I28" s="22"/>
      <c r="J28" s="22"/>
      <c r="K28" s="22"/>
      <c r="L28" s="22"/>
      <c r="M28" s="22"/>
      <c r="N28" s="22"/>
      <c r="O28" s="22"/>
      <c r="P28" s="59">
        <f>SUM(D28:O28)</f>
        <v>6713</v>
      </c>
      <c r="Q28" s="42"/>
      <c r="R28" s="48"/>
      <c r="T28">
        <v>8726</v>
      </c>
    </row>
    <row r="29" spans="1:20" x14ac:dyDescent="0.25">
      <c r="A29" s="52"/>
      <c r="B29" s="62"/>
      <c r="C29" s="36"/>
      <c r="D29" s="36"/>
      <c r="E29" s="36"/>
      <c r="F29" s="36"/>
      <c r="G29" s="36"/>
      <c r="H29" s="36"/>
      <c r="I29" s="22"/>
      <c r="J29" s="22"/>
      <c r="K29" s="22"/>
      <c r="L29" s="22"/>
      <c r="M29" s="22"/>
      <c r="N29" s="22"/>
      <c r="O29" s="22"/>
      <c r="P29" s="59"/>
      <c r="Q29" s="42"/>
      <c r="R29" s="48"/>
    </row>
    <row r="30" spans="1:20" x14ac:dyDescent="0.25">
      <c r="A30" s="52"/>
      <c r="B30" s="62" t="s">
        <v>186</v>
      </c>
      <c r="C30" s="36"/>
      <c r="D30" s="36"/>
      <c r="E30" s="36"/>
      <c r="F30" s="36">
        <v>11562</v>
      </c>
      <c r="G30" s="36">
        <v>5293</v>
      </c>
      <c r="H30" s="36"/>
      <c r="I30" s="22"/>
      <c r="J30" s="22"/>
      <c r="K30" s="22"/>
      <c r="L30" s="22"/>
      <c r="M30" s="22"/>
      <c r="N30" s="22"/>
      <c r="O30" s="22"/>
      <c r="P30" s="59">
        <f t="shared" ref="P30:P71" si="0">SUM(D30:O30)</f>
        <v>16855</v>
      </c>
      <c r="Q30" s="42"/>
      <c r="R30" s="48"/>
    </row>
    <row r="31" spans="1:20" x14ac:dyDescent="0.25">
      <c r="A31" s="52"/>
      <c r="B31" s="21" t="s">
        <v>129</v>
      </c>
      <c r="C31" s="36"/>
      <c r="D31" s="36"/>
      <c r="E31" s="36"/>
      <c r="F31" s="36">
        <v>6937</v>
      </c>
      <c r="G31" s="36"/>
      <c r="H31" s="36">
        <v>5172</v>
      </c>
      <c r="I31" s="22"/>
      <c r="J31" s="22"/>
      <c r="K31" s="22"/>
      <c r="L31" s="22"/>
      <c r="M31" s="22"/>
      <c r="N31" s="22"/>
      <c r="O31" s="22"/>
      <c r="P31" s="59">
        <f t="shared" si="0"/>
        <v>12109</v>
      </c>
      <c r="Q31" s="42"/>
      <c r="R31" s="48"/>
    </row>
    <row r="32" spans="1:20" x14ac:dyDescent="0.25">
      <c r="A32" s="52"/>
      <c r="B32" s="21" t="s">
        <v>130</v>
      </c>
      <c r="C32" s="36"/>
      <c r="D32" s="36"/>
      <c r="E32" s="36"/>
      <c r="F32" s="36">
        <v>16187</v>
      </c>
      <c r="G32" s="36"/>
      <c r="H32" s="36"/>
      <c r="I32" s="22">
        <v>16187</v>
      </c>
      <c r="J32" s="22">
        <v>1554</v>
      </c>
      <c r="K32" s="22"/>
      <c r="L32" s="22"/>
      <c r="M32" s="22"/>
      <c r="N32" s="22"/>
      <c r="O32" s="22"/>
      <c r="P32" s="59">
        <f t="shared" si="0"/>
        <v>33928</v>
      </c>
      <c r="Q32" s="42"/>
      <c r="R32" s="48"/>
    </row>
    <row r="33" spans="1:18" x14ac:dyDescent="0.25">
      <c r="A33" s="52"/>
      <c r="B33" s="21" t="s">
        <v>131</v>
      </c>
      <c r="C33" s="36"/>
      <c r="D33" s="36"/>
      <c r="E33" s="36"/>
      <c r="F33" s="36">
        <v>16625</v>
      </c>
      <c r="G33" s="36"/>
      <c r="H33" s="36"/>
      <c r="I33" s="22">
        <v>16625</v>
      </c>
      <c r="J33" s="22"/>
      <c r="K33" s="22"/>
      <c r="L33" s="22">
        <v>12569</v>
      </c>
      <c r="M33" s="22"/>
      <c r="N33" s="22"/>
      <c r="O33" s="22"/>
      <c r="P33" s="59">
        <f t="shared" si="0"/>
        <v>45819</v>
      </c>
      <c r="Q33" s="42"/>
      <c r="R33" s="48"/>
    </row>
    <row r="34" spans="1:18" x14ac:dyDescent="0.25">
      <c r="A34" s="53"/>
      <c r="B34" s="21" t="s">
        <v>132</v>
      </c>
      <c r="C34" s="36"/>
      <c r="D34" s="36"/>
      <c r="E34" s="36"/>
      <c r="F34" s="36">
        <v>9500</v>
      </c>
      <c r="G34" s="36"/>
      <c r="H34" s="36"/>
      <c r="I34" s="22">
        <v>9500</v>
      </c>
      <c r="J34" s="22"/>
      <c r="K34" s="22"/>
      <c r="L34" s="22">
        <v>8953</v>
      </c>
      <c r="M34" s="22"/>
      <c r="N34" s="22"/>
      <c r="O34" s="36"/>
      <c r="P34" s="59">
        <f t="shared" si="0"/>
        <v>27953</v>
      </c>
      <c r="Q34" s="42"/>
      <c r="R34" s="48"/>
    </row>
    <row r="35" spans="1:18" x14ac:dyDescent="0.25">
      <c r="A35" s="55"/>
      <c r="B35" s="21" t="s">
        <v>133</v>
      </c>
      <c r="C35" s="38"/>
      <c r="D35" s="38"/>
      <c r="E35" s="38"/>
      <c r="F35" s="38">
        <v>12187</v>
      </c>
      <c r="G35" s="38"/>
      <c r="H35" s="38">
        <v>10453</v>
      </c>
      <c r="I35" s="33"/>
      <c r="J35" s="33"/>
      <c r="K35" s="33"/>
      <c r="L35" s="33"/>
      <c r="M35" s="33"/>
      <c r="N35" s="33"/>
      <c r="O35" s="38"/>
      <c r="P35" s="59">
        <f t="shared" si="0"/>
        <v>22640</v>
      </c>
      <c r="Q35" s="42"/>
      <c r="R35" s="48"/>
    </row>
    <row r="36" spans="1:18" x14ac:dyDescent="0.25">
      <c r="A36" s="55"/>
      <c r="B36" s="21" t="s">
        <v>134</v>
      </c>
      <c r="C36" s="38"/>
      <c r="D36" s="38"/>
      <c r="E36" s="38"/>
      <c r="F36" s="38">
        <v>56062</v>
      </c>
      <c r="G36" s="38"/>
      <c r="H36" s="38"/>
      <c r="I36" s="33">
        <v>56062</v>
      </c>
      <c r="J36" s="33"/>
      <c r="K36" s="33">
        <v>31483</v>
      </c>
      <c r="L36" s="33"/>
      <c r="M36" s="33"/>
      <c r="N36" s="33"/>
      <c r="O36" s="38"/>
      <c r="P36" s="59">
        <f t="shared" si="0"/>
        <v>143607</v>
      </c>
      <c r="Q36" s="42"/>
      <c r="R36" s="48"/>
    </row>
    <row r="37" spans="1:18" x14ac:dyDescent="0.25">
      <c r="A37" s="55"/>
      <c r="B37" s="21" t="s">
        <v>135</v>
      </c>
      <c r="C37" s="38">
        <v>1760010</v>
      </c>
      <c r="D37" s="38"/>
      <c r="E37" s="38"/>
      <c r="F37" s="38">
        <v>41800</v>
      </c>
      <c r="G37" s="38"/>
      <c r="H37" s="38"/>
      <c r="I37" s="33">
        <v>41800</v>
      </c>
      <c r="J37" s="33"/>
      <c r="K37" s="33"/>
      <c r="L37" s="33"/>
      <c r="M37" s="38">
        <v>41800</v>
      </c>
      <c r="N37" s="33"/>
      <c r="O37" s="38">
        <v>41800</v>
      </c>
      <c r="P37" s="59">
        <f t="shared" si="0"/>
        <v>167200</v>
      </c>
      <c r="Q37" s="42"/>
      <c r="R37" s="48"/>
    </row>
    <row r="38" spans="1:18" x14ac:dyDescent="0.25">
      <c r="A38" s="55"/>
      <c r="B38" s="21" t="s">
        <v>136</v>
      </c>
      <c r="C38" s="38">
        <v>2038773</v>
      </c>
      <c r="D38" s="38"/>
      <c r="E38" s="38"/>
      <c r="F38" s="38">
        <v>48420</v>
      </c>
      <c r="G38" s="38"/>
      <c r="H38" s="38"/>
      <c r="I38" s="33">
        <v>48420</v>
      </c>
      <c r="J38" s="33"/>
      <c r="K38" s="33"/>
      <c r="L38" s="33"/>
      <c r="M38" s="38">
        <v>48420</v>
      </c>
      <c r="N38" s="33"/>
      <c r="O38" s="38">
        <v>48420</v>
      </c>
      <c r="P38" s="59">
        <f t="shared" si="0"/>
        <v>193680</v>
      </c>
      <c r="Q38" s="42"/>
      <c r="R38" s="48"/>
    </row>
    <row r="39" spans="1:18" x14ac:dyDescent="0.25">
      <c r="A39" s="55"/>
      <c r="B39" s="21" t="s">
        <v>137</v>
      </c>
      <c r="C39" s="38">
        <v>2479000</v>
      </c>
      <c r="D39" s="38"/>
      <c r="E39" s="38"/>
      <c r="F39" s="38">
        <v>58876</v>
      </c>
      <c r="G39" s="38"/>
      <c r="H39" s="38"/>
      <c r="I39" s="33">
        <v>58876</v>
      </c>
      <c r="J39" s="33"/>
      <c r="K39" s="33"/>
      <c r="L39" s="33"/>
      <c r="M39" s="38">
        <v>58876</v>
      </c>
      <c r="N39" s="33"/>
      <c r="O39" s="38">
        <v>58876</v>
      </c>
      <c r="P39" s="59">
        <f t="shared" si="0"/>
        <v>235504</v>
      </c>
      <c r="Q39" s="42"/>
      <c r="R39" s="48"/>
    </row>
    <row r="40" spans="1:18" x14ac:dyDescent="0.25">
      <c r="A40" s="55"/>
      <c r="B40" s="21" t="s">
        <v>148</v>
      </c>
      <c r="C40" s="38">
        <v>300000</v>
      </c>
      <c r="D40" s="38"/>
      <c r="E40" s="38"/>
      <c r="F40" s="38"/>
      <c r="G40" s="38"/>
      <c r="H40" s="38"/>
      <c r="I40" s="33">
        <v>1874</v>
      </c>
      <c r="J40" s="33"/>
      <c r="K40" s="33"/>
      <c r="L40" s="33"/>
      <c r="M40" s="33">
        <v>7125</v>
      </c>
      <c r="N40" s="33"/>
      <c r="O40" s="33">
        <v>7125</v>
      </c>
      <c r="P40" s="59">
        <f>SUM(D40:O40)</f>
        <v>16124</v>
      </c>
      <c r="Q40" s="42"/>
      <c r="R40" s="48"/>
    </row>
    <row r="41" spans="1:18" x14ac:dyDescent="0.25">
      <c r="A41" s="55"/>
      <c r="B41" s="37" t="s">
        <v>138</v>
      </c>
      <c r="C41" s="38">
        <v>75000</v>
      </c>
      <c r="D41" s="38"/>
      <c r="E41" s="38"/>
      <c r="F41" s="38">
        <v>1781</v>
      </c>
      <c r="G41" s="38"/>
      <c r="H41" s="38"/>
      <c r="I41" s="38">
        <v>1781</v>
      </c>
      <c r="J41" s="38"/>
      <c r="K41" s="38"/>
      <c r="L41" s="38"/>
      <c r="M41" s="38">
        <v>1781</v>
      </c>
      <c r="N41" s="38"/>
      <c r="O41" s="38">
        <v>1781</v>
      </c>
      <c r="P41" s="59">
        <f t="shared" si="0"/>
        <v>7124</v>
      </c>
      <c r="Q41" s="42"/>
      <c r="R41" s="48"/>
    </row>
    <row r="42" spans="1:18" x14ac:dyDescent="0.25">
      <c r="A42" s="55"/>
      <c r="B42" s="37" t="s">
        <v>139</v>
      </c>
      <c r="C42" s="38">
        <v>160000</v>
      </c>
      <c r="D42" s="38"/>
      <c r="E42" s="38"/>
      <c r="F42" s="38">
        <v>3800</v>
      </c>
      <c r="G42" s="38"/>
      <c r="H42" s="38"/>
      <c r="I42" s="38">
        <v>3800</v>
      </c>
      <c r="J42" s="38"/>
      <c r="K42" s="38"/>
      <c r="L42" s="38"/>
      <c r="M42" s="38">
        <v>3800</v>
      </c>
      <c r="N42" s="38"/>
      <c r="O42" s="38">
        <v>3800</v>
      </c>
      <c r="P42" s="59">
        <f t="shared" si="0"/>
        <v>15200</v>
      </c>
      <c r="Q42" s="42"/>
      <c r="R42" s="48"/>
    </row>
    <row r="43" spans="1:18" x14ac:dyDescent="0.25">
      <c r="A43" s="55"/>
      <c r="B43" s="37" t="s">
        <v>140</v>
      </c>
      <c r="C43" s="38">
        <v>160000</v>
      </c>
      <c r="D43" s="38"/>
      <c r="E43" s="38"/>
      <c r="F43" s="38">
        <v>3800</v>
      </c>
      <c r="G43" s="38"/>
      <c r="H43" s="38"/>
      <c r="I43" s="38">
        <v>3800</v>
      </c>
      <c r="J43" s="38"/>
      <c r="K43" s="38"/>
      <c r="L43" s="38"/>
      <c r="M43" s="38">
        <v>3800</v>
      </c>
      <c r="N43" s="38"/>
      <c r="O43" s="38">
        <v>3800</v>
      </c>
      <c r="P43" s="59">
        <f t="shared" si="0"/>
        <v>15200</v>
      </c>
      <c r="Q43" s="42"/>
      <c r="R43" s="48"/>
    </row>
    <row r="44" spans="1:18" x14ac:dyDescent="0.25">
      <c r="A44" s="55"/>
      <c r="B44" s="37" t="s">
        <v>141</v>
      </c>
      <c r="C44" s="38">
        <v>80000</v>
      </c>
      <c r="D44" s="38"/>
      <c r="E44" s="38"/>
      <c r="F44" s="38">
        <v>1900</v>
      </c>
      <c r="G44" s="38"/>
      <c r="H44" s="38"/>
      <c r="I44" s="38">
        <v>1900</v>
      </c>
      <c r="J44" s="38"/>
      <c r="K44" s="38"/>
      <c r="L44" s="38"/>
      <c r="M44" s="38">
        <v>1900</v>
      </c>
      <c r="N44" s="38"/>
      <c r="O44" s="38">
        <v>1900</v>
      </c>
      <c r="P44" s="59">
        <f t="shared" si="0"/>
        <v>7600</v>
      </c>
      <c r="Q44" s="42"/>
      <c r="R44" s="48"/>
    </row>
    <row r="45" spans="1:18" x14ac:dyDescent="0.25">
      <c r="A45" s="55"/>
      <c r="B45" s="37" t="s">
        <v>142</v>
      </c>
      <c r="C45" s="38">
        <v>80000</v>
      </c>
      <c r="D45" s="38"/>
      <c r="E45" s="38"/>
      <c r="F45" s="38">
        <v>1900</v>
      </c>
      <c r="G45" s="38"/>
      <c r="H45" s="38"/>
      <c r="I45" s="38">
        <v>1900</v>
      </c>
      <c r="J45" s="38"/>
      <c r="K45" s="38"/>
      <c r="L45" s="38"/>
      <c r="M45" s="38">
        <v>1900</v>
      </c>
      <c r="N45" s="38"/>
      <c r="O45" s="38">
        <v>1900</v>
      </c>
      <c r="P45" s="59">
        <f t="shared" si="0"/>
        <v>7600</v>
      </c>
      <c r="Q45" s="42"/>
      <c r="R45" s="48"/>
    </row>
    <row r="46" spans="1:18" x14ac:dyDescent="0.25">
      <c r="A46" s="55"/>
      <c r="B46" s="37" t="s">
        <v>143</v>
      </c>
      <c r="C46" s="38">
        <v>160000</v>
      </c>
      <c r="D46" s="38"/>
      <c r="E46" s="38"/>
      <c r="F46" s="38">
        <v>3800</v>
      </c>
      <c r="G46" s="38"/>
      <c r="H46" s="38"/>
      <c r="I46" s="38">
        <v>3800</v>
      </c>
      <c r="J46" s="38"/>
      <c r="K46" s="38"/>
      <c r="L46" s="38"/>
      <c r="M46" s="38">
        <v>3800</v>
      </c>
      <c r="N46" s="38"/>
      <c r="O46" s="38">
        <v>3800</v>
      </c>
      <c r="P46" s="59">
        <f t="shared" si="0"/>
        <v>15200</v>
      </c>
      <c r="Q46" s="42"/>
      <c r="R46" s="48"/>
    </row>
    <row r="47" spans="1:18" x14ac:dyDescent="0.25">
      <c r="A47" s="55"/>
      <c r="B47" s="37" t="s">
        <v>144</v>
      </c>
      <c r="C47" s="38">
        <v>80000</v>
      </c>
      <c r="D47" s="38"/>
      <c r="E47" s="38"/>
      <c r="F47" s="38">
        <v>1900</v>
      </c>
      <c r="G47" s="38"/>
      <c r="H47" s="38"/>
      <c r="I47" s="38">
        <v>1900</v>
      </c>
      <c r="J47" s="38"/>
      <c r="K47" s="38"/>
      <c r="L47" s="38"/>
      <c r="M47" s="38">
        <v>1900</v>
      </c>
      <c r="N47" s="38"/>
      <c r="O47" s="38">
        <v>1900</v>
      </c>
      <c r="P47" s="59">
        <f t="shared" si="0"/>
        <v>7600</v>
      </c>
      <c r="Q47" s="42"/>
      <c r="R47" s="48"/>
    </row>
    <row r="48" spans="1:18" x14ac:dyDescent="0.25">
      <c r="A48" s="55"/>
      <c r="B48" s="61" t="s">
        <v>152</v>
      </c>
      <c r="C48" s="38"/>
      <c r="D48" s="38"/>
      <c r="E48" s="38"/>
      <c r="F48" s="38"/>
      <c r="G48" s="38"/>
      <c r="H48" s="38"/>
      <c r="I48" s="33"/>
      <c r="J48" s="33"/>
      <c r="K48" s="33">
        <v>8726</v>
      </c>
      <c r="L48" s="33"/>
      <c r="M48" s="33"/>
      <c r="N48" s="33"/>
      <c r="O48" s="39"/>
      <c r="P48" s="59">
        <f t="shared" si="0"/>
        <v>8726</v>
      </c>
      <c r="Q48" s="42"/>
      <c r="R48" s="48"/>
    </row>
    <row r="49" spans="1:19" x14ac:dyDescent="0.25">
      <c r="A49" s="55"/>
      <c r="B49" s="61" t="s">
        <v>156</v>
      </c>
      <c r="C49" s="38"/>
      <c r="D49" s="38"/>
      <c r="E49" s="38"/>
      <c r="F49" s="38"/>
      <c r="G49" s="38"/>
      <c r="H49" s="38"/>
      <c r="I49" s="33"/>
      <c r="J49" s="33"/>
      <c r="K49" s="33"/>
      <c r="L49" s="33"/>
      <c r="M49" s="33"/>
      <c r="N49" s="33">
        <v>45874</v>
      </c>
      <c r="O49" s="39"/>
      <c r="P49" s="59">
        <f t="shared" si="0"/>
        <v>45874</v>
      </c>
      <c r="Q49" s="42"/>
      <c r="R49" s="48"/>
    </row>
    <row r="50" spans="1:19" x14ac:dyDescent="0.25">
      <c r="A50" s="55"/>
      <c r="B50" s="61" t="s">
        <v>159</v>
      </c>
      <c r="C50" s="38"/>
      <c r="D50" s="38"/>
      <c r="E50" s="38"/>
      <c r="F50" s="38"/>
      <c r="G50" s="38"/>
      <c r="H50" s="38"/>
      <c r="I50" s="33"/>
      <c r="J50" s="33"/>
      <c r="K50" s="33"/>
      <c r="L50" s="33"/>
      <c r="M50" s="33"/>
      <c r="N50" s="33"/>
      <c r="O50" s="39">
        <v>13962</v>
      </c>
      <c r="P50" s="59">
        <f t="shared" si="0"/>
        <v>13962</v>
      </c>
      <c r="Q50" s="43">
        <v>3184</v>
      </c>
      <c r="R50" s="48"/>
    </row>
    <row r="51" spans="1:19" x14ac:dyDescent="0.25">
      <c r="A51" s="55"/>
      <c r="B51" s="37" t="s">
        <v>157</v>
      </c>
      <c r="C51" s="38">
        <v>227408</v>
      </c>
      <c r="D51" s="38"/>
      <c r="E51" s="38"/>
      <c r="F51" s="38"/>
      <c r="G51" s="38"/>
      <c r="H51" s="38"/>
      <c r="I51" s="33"/>
      <c r="J51" s="33"/>
      <c r="K51" s="33"/>
      <c r="L51" s="33"/>
      <c r="M51" s="33"/>
      <c r="N51" s="33"/>
      <c r="O51" s="39"/>
      <c r="P51" s="59">
        <f>SUM(D51:O51)</f>
        <v>0</v>
      </c>
      <c r="Q51" s="43">
        <v>21470</v>
      </c>
      <c r="R51" s="48"/>
    </row>
    <row r="52" spans="1:19" x14ac:dyDescent="0.25">
      <c r="A52" s="55"/>
      <c r="B52" s="37" t="s">
        <v>158</v>
      </c>
      <c r="C52" s="38">
        <v>713962</v>
      </c>
      <c r="D52" s="38"/>
      <c r="E52" s="38"/>
      <c r="F52" s="38"/>
      <c r="G52" s="38"/>
      <c r="H52" s="38"/>
      <c r="I52" s="33"/>
      <c r="J52" s="33"/>
      <c r="K52" s="33"/>
      <c r="L52" s="33"/>
      <c r="M52" s="33"/>
      <c r="N52" s="33"/>
      <c r="O52" s="39"/>
      <c r="P52" s="59">
        <f>SUM(D52:O52)</f>
        <v>0</v>
      </c>
      <c r="Q52" s="42"/>
      <c r="R52" s="48"/>
    </row>
    <row r="53" spans="1:19" x14ac:dyDescent="0.25">
      <c r="A53" s="55"/>
      <c r="B53" s="37"/>
      <c r="C53" s="38"/>
      <c r="D53" s="38"/>
      <c r="E53" s="38"/>
      <c r="F53" s="38"/>
      <c r="G53" s="38"/>
      <c r="H53" s="38"/>
      <c r="I53" s="33"/>
      <c r="J53" s="33"/>
      <c r="K53" s="33"/>
      <c r="L53" s="33"/>
      <c r="M53" s="33"/>
      <c r="N53" s="33"/>
      <c r="O53" s="39"/>
      <c r="P53" s="59">
        <f t="shared" si="0"/>
        <v>0</v>
      </c>
      <c r="Q53" s="42"/>
      <c r="R53" s="48"/>
    </row>
    <row r="54" spans="1:19" x14ac:dyDescent="0.25">
      <c r="A54" s="55"/>
      <c r="B54" s="37"/>
      <c r="C54" s="38"/>
      <c r="D54" s="38"/>
      <c r="E54" s="38"/>
      <c r="F54" s="38"/>
      <c r="G54" s="38"/>
      <c r="H54" s="38"/>
      <c r="I54" s="33"/>
      <c r="J54" s="33"/>
      <c r="K54" s="33"/>
      <c r="L54" s="33"/>
      <c r="M54" s="33"/>
      <c r="N54" s="33"/>
      <c r="O54" s="39"/>
      <c r="P54" s="59">
        <f t="shared" si="0"/>
        <v>0</v>
      </c>
      <c r="Q54" s="42"/>
      <c r="R54" s="48"/>
    </row>
    <row r="55" spans="1:19" x14ac:dyDescent="0.25">
      <c r="A55" s="55"/>
      <c r="B55" s="37"/>
      <c r="C55" s="38"/>
      <c r="D55" s="38"/>
      <c r="E55" s="38"/>
      <c r="F55" s="38"/>
      <c r="G55" s="38"/>
      <c r="H55" s="38"/>
      <c r="I55" s="33"/>
      <c r="J55" s="33"/>
      <c r="K55" s="33"/>
      <c r="L55" s="33"/>
      <c r="M55" s="33"/>
      <c r="N55" s="33"/>
      <c r="O55" s="39"/>
      <c r="P55" s="59">
        <f t="shared" si="0"/>
        <v>0</v>
      </c>
      <c r="Q55" s="42"/>
      <c r="R55" s="48"/>
    </row>
    <row r="56" spans="1:19" x14ac:dyDescent="0.25">
      <c r="A56" s="55"/>
      <c r="B56" s="63" t="s">
        <v>199</v>
      </c>
      <c r="C56" s="38"/>
      <c r="D56" s="38"/>
      <c r="E56" s="38"/>
      <c r="F56" s="38"/>
      <c r="G56" s="38"/>
      <c r="H56" s="38"/>
      <c r="I56" s="33"/>
      <c r="J56" s="33"/>
      <c r="K56" s="33"/>
      <c r="L56" s="33"/>
      <c r="M56" s="33"/>
      <c r="N56" s="33"/>
      <c r="O56" s="39"/>
      <c r="P56" s="59">
        <f t="shared" si="0"/>
        <v>0</v>
      </c>
      <c r="Q56" s="42"/>
      <c r="R56" s="48"/>
    </row>
    <row r="57" spans="1:19" x14ac:dyDescent="0.25">
      <c r="A57" s="55"/>
      <c r="B57" s="37"/>
      <c r="C57" s="38"/>
      <c r="D57" s="38"/>
      <c r="E57" s="38"/>
      <c r="F57" s="38"/>
      <c r="G57" s="38"/>
      <c r="H57" s="38"/>
      <c r="I57" s="33"/>
      <c r="J57" s="33"/>
      <c r="K57" s="33"/>
      <c r="L57" s="33"/>
      <c r="M57" s="33"/>
      <c r="N57" s="33"/>
      <c r="O57" s="39"/>
      <c r="P57" s="59">
        <f t="shared" si="0"/>
        <v>0</v>
      </c>
      <c r="Q57" s="42"/>
      <c r="R57" s="48"/>
    </row>
    <row r="58" spans="1:19" x14ac:dyDescent="0.25">
      <c r="A58" s="55"/>
      <c r="B58" s="37"/>
      <c r="C58" s="38"/>
      <c r="D58" s="38"/>
      <c r="E58" s="38"/>
      <c r="F58" s="38"/>
      <c r="G58" s="38"/>
      <c r="H58" s="38"/>
      <c r="I58" s="33"/>
      <c r="J58" s="33"/>
      <c r="K58" s="33"/>
      <c r="L58" s="33"/>
      <c r="M58" s="33"/>
      <c r="N58" s="33"/>
      <c r="O58" s="39"/>
      <c r="P58" s="59">
        <f t="shared" si="0"/>
        <v>0</v>
      </c>
      <c r="Q58" s="42"/>
      <c r="R58" s="48"/>
    </row>
    <row r="59" spans="1:19" x14ac:dyDescent="0.25">
      <c r="A59" s="55"/>
      <c r="B59" s="37"/>
      <c r="C59" s="38"/>
      <c r="D59" s="38"/>
      <c r="E59" s="38"/>
      <c r="F59" s="38"/>
      <c r="G59" s="38"/>
      <c r="H59" s="38"/>
      <c r="I59" s="33"/>
      <c r="J59" s="33"/>
      <c r="K59" s="33"/>
      <c r="L59" s="33"/>
      <c r="M59" s="33"/>
      <c r="N59" s="33"/>
      <c r="O59" s="39"/>
      <c r="P59" s="59">
        <f t="shared" si="0"/>
        <v>0</v>
      </c>
      <c r="Q59" s="42"/>
      <c r="R59" s="48"/>
    </row>
    <row r="60" spans="1:19" x14ac:dyDescent="0.25">
      <c r="A60" s="55"/>
      <c r="B60" s="37"/>
      <c r="C60" s="38"/>
      <c r="D60" s="38"/>
      <c r="E60" s="38"/>
      <c r="F60" s="38"/>
      <c r="G60" s="38"/>
      <c r="H60" s="38"/>
      <c r="I60" s="33"/>
      <c r="J60" s="33"/>
      <c r="K60" s="33"/>
      <c r="L60" s="33"/>
      <c r="M60" s="33"/>
      <c r="N60" s="33"/>
      <c r="O60" s="39"/>
      <c r="P60" s="59">
        <f t="shared" si="0"/>
        <v>0</v>
      </c>
      <c r="Q60" s="42"/>
      <c r="R60" s="48"/>
    </row>
    <row r="61" spans="1:19" x14ac:dyDescent="0.25">
      <c r="A61" s="55"/>
      <c r="B61" s="37"/>
      <c r="C61" s="38"/>
      <c r="D61" s="38"/>
      <c r="E61" s="38"/>
      <c r="F61" s="38"/>
      <c r="G61" s="38"/>
      <c r="H61" s="38"/>
      <c r="I61" s="33"/>
      <c r="J61" s="33"/>
      <c r="K61" s="33"/>
      <c r="L61" s="33"/>
      <c r="M61" s="33"/>
      <c r="N61" s="33"/>
      <c r="O61" s="39"/>
      <c r="P61" s="59">
        <f t="shared" si="0"/>
        <v>0</v>
      </c>
      <c r="Q61" s="42"/>
      <c r="R61" s="48"/>
    </row>
    <row r="62" spans="1:19" x14ac:dyDescent="0.25">
      <c r="A62" s="55"/>
      <c r="B62" s="37"/>
      <c r="C62" s="38"/>
      <c r="D62" s="38"/>
      <c r="E62" s="38"/>
      <c r="F62" s="38"/>
      <c r="G62" s="38"/>
      <c r="H62" s="38"/>
      <c r="I62" s="33"/>
      <c r="J62" s="33"/>
      <c r="K62" s="33"/>
      <c r="L62" s="33"/>
      <c r="M62" s="33"/>
      <c r="N62" s="33"/>
      <c r="O62" s="39"/>
      <c r="P62" s="59">
        <f t="shared" si="0"/>
        <v>0</v>
      </c>
      <c r="Q62" s="42"/>
      <c r="R62" s="48"/>
    </row>
    <row r="63" spans="1:19" x14ac:dyDescent="0.25">
      <c r="A63" s="55"/>
      <c r="B63" s="37"/>
      <c r="C63" s="38"/>
      <c r="D63" s="38"/>
      <c r="E63" s="38"/>
      <c r="F63" s="38"/>
      <c r="G63" s="38"/>
      <c r="H63" s="38"/>
      <c r="I63" s="33"/>
      <c r="J63" s="33"/>
      <c r="K63" s="33"/>
      <c r="L63" s="33"/>
      <c r="M63" s="33"/>
      <c r="N63" s="33"/>
      <c r="O63" s="39"/>
      <c r="P63" s="59">
        <f t="shared" si="0"/>
        <v>0</v>
      </c>
      <c r="Q63" s="42"/>
      <c r="R63" s="48"/>
    </row>
    <row r="64" spans="1:19" x14ac:dyDescent="0.25">
      <c r="A64" s="55"/>
      <c r="B64" s="37"/>
      <c r="C64" s="37"/>
      <c r="D64" s="37"/>
      <c r="E64" s="37"/>
      <c r="F64" s="38"/>
      <c r="G64" s="38"/>
      <c r="H64" s="38"/>
      <c r="I64" s="33"/>
      <c r="J64" s="33"/>
      <c r="K64" s="33"/>
      <c r="L64" s="33"/>
      <c r="M64" s="33"/>
      <c r="N64" s="33"/>
      <c r="O64" s="38"/>
      <c r="P64" s="59">
        <f t="shared" si="0"/>
        <v>0</v>
      </c>
      <c r="Q64" s="42"/>
      <c r="R64" s="48"/>
      <c r="S64" s="60"/>
    </row>
    <row r="65" spans="1:19" x14ac:dyDescent="0.25">
      <c r="A65" s="55"/>
      <c r="B65" s="21"/>
      <c r="C65" s="38"/>
      <c r="D65" s="38"/>
      <c r="E65" s="38"/>
      <c r="F65" s="38"/>
      <c r="G65" s="38"/>
      <c r="H65" s="38"/>
      <c r="I65" s="33"/>
      <c r="J65" s="33"/>
      <c r="K65" s="33"/>
      <c r="L65" s="33"/>
      <c r="M65" s="33"/>
      <c r="N65" s="33"/>
      <c r="O65" s="39"/>
      <c r="P65" s="59">
        <f t="shared" si="0"/>
        <v>0</v>
      </c>
      <c r="Q65" s="42"/>
      <c r="R65" s="48"/>
    </row>
    <row r="66" spans="1:19" x14ac:dyDescent="0.25">
      <c r="A66" s="55"/>
      <c r="B66" s="37"/>
      <c r="C66" s="38"/>
      <c r="D66" s="38"/>
      <c r="E66" s="38"/>
      <c r="F66" s="38"/>
      <c r="G66" s="38"/>
      <c r="H66" s="38"/>
      <c r="I66" s="33"/>
      <c r="J66" s="33"/>
      <c r="K66" s="33"/>
      <c r="L66" s="33"/>
      <c r="M66" s="33"/>
      <c r="N66" s="33"/>
      <c r="O66" s="39"/>
      <c r="P66" s="59">
        <f t="shared" si="0"/>
        <v>0</v>
      </c>
      <c r="Q66" s="42"/>
      <c r="R66" s="48"/>
    </row>
    <row r="67" spans="1:19" x14ac:dyDescent="0.25">
      <c r="A67" s="55"/>
      <c r="B67" s="37"/>
      <c r="C67" s="38"/>
      <c r="D67" s="38"/>
      <c r="E67" s="38"/>
      <c r="F67" s="38"/>
      <c r="G67" s="38"/>
      <c r="H67" s="38"/>
      <c r="I67" s="33"/>
      <c r="J67" s="33"/>
      <c r="K67" s="33"/>
      <c r="L67" s="33"/>
      <c r="M67" s="33"/>
      <c r="N67" s="33"/>
      <c r="O67" s="39"/>
      <c r="P67" s="59">
        <f t="shared" si="0"/>
        <v>0</v>
      </c>
      <c r="Q67" s="42"/>
      <c r="R67" s="48"/>
    </row>
    <row r="68" spans="1:19" x14ac:dyDescent="0.25">
      <c r="A68" s="55"/>
      <c r="B68" s="37"/>
      <c r="C68" s="38"/>
      <c r="D68" s="38"/>
      <c r="E68" s="38"/>
      <c r="F68" s="38"/>
      <c r="G68" s="38"/>
      <c r="H68" s="38"/>
      <c r="I68" s="33"/>
      <c r="J68" s="33"/>
      <c r="K68" s="33"/>
      <c r="L68" s="33"/>
      <c r="M68" s="33"/>
      <c r="N68" s="33"/>
      <c r="O68" s="39"/>
      <c r="P68" s="59">
        <f t="shared" si="0"/>
        <v>0</v>
      </c>
      <c r="Q68" s="42"/>
      <c r="R68" s="48"/>
    </row>
    <row r="69" spans="1:19" x14ac:dyDescent="0.25">
      <c r="A69" s="55"/>
      <c r="B69" s="37"/>
      <c r="C69" s="38"/>
      <c r="D69" s="38"/>
      <c r="E69" s="38"/>
      <c r="F69" s="38"/>
      <c r="G69" s="38"/>
      <c r="H69" s="38"/>
      <c r="I69" s="33"/>
      <c r="J69" s="33"/>
      <c r="K69" s="33"/>
      <c r="L69" s="33"/>
      <c r="M69" s="33"/>
      <c r="N69" s="33"/>
      <c r="O69" s="39"/>
      <c r="P69" s="59">
        <f t="shared" si="0"/>
        <v>0</v>
      </c>
      <c r="Q69" s="42"/>
      <c r="R69" s="48"/>
    </row>
    <row r="70" spans="1:19" x14ac:dyDescent="0.25">
      <c r="A70" s="55"/>
      <c r="B70" s="37"/>
      <c r="C70" s="38"/>
      <c r="D70" s="38"/>
      <c r="E70" s="38"/>
      <c r="F70" s="38"/>
      <c r="G70" s="38"/>
      <c r="H70" s="38"/>
      <c r="I70" s="33"/>
      <c r="J70" s="33"/>
      <c r="K70" s="33"/>
      <c r="L70" s="33"/>
      <c r="M70" s="33"/>
      <c r="N70" s="33"/>
      <c r="O70" s="39"/>
      <c r="P70" s="59">
        <f t="shared" si="0"/>
        <v>0</v>
      </c>
      <c r="Q70" s="42"/>
      <c r="R70" s="48"/>
    </row>
    <row r="71" spans="1:19" ht="13.8" thickBot="1" x14ac:dyDescent="0.3">
      <c r="A71" s="56"/>
      <c r="B71" s="29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59">
        <f t="shared" si="0"/>
        <v>0</v>
      </c>
      <c r="Q71" s="42"/>
      <c r="R71" s="48"/>
    </row>
    <row r="72" spans="1:19" x14ac:dyDescent="0.25">
      <c r="A72" s="30"/>
      <c r="B72" s="31"/>
      <c r="C72" s="34">
        <f t="shared" ref="C72:O72" si="1">SUM(C26:C71)</f>
        <v>9814153</v>
      </c>
      <c r="D72" s="34">
        <f t="shared" si="1"/>
        <v>0</v>
      </c>
      <c r="E72" s="34">
        <f t="shared" si="1"/>
        <v>10645</v>
      </c>
      <c r="F72" s="34">
        <f t="shared" si="1"/>
        <v>297037</v>
      </c>
      <c r="G72" s="34">
        <f t="shared" si="1"/>
        <v>5293</v>
      </c>
      <c r="H72" s="34">
        <f t="shared" si="1"/>
        <v>15625</v>
      </c>
      <c r="I72" s="34">
        <f t="shared" si="1"/>
        <v>268225</v>
      </c>
      <c r="J72" s="34">
        <f t="shared" si="1"/>
        <v>1554</v>
      </c>
      <c r="K72" s="34">
        <f t="shared" si="1"/>
        <v>40209</v>
      </c>
      <c r="L72" s="34">
        <f t="shared" si="1"/>
        <v>21522</v>
      </c>
      <c r="M72" s="34">
        <f t="shared" si="1"/>
        <v>175102</v>
      </c>
      <c r="N72" s="34">
        <f t="shared" si="1"/>
        <v>45874</v>
      </c>
      <c r="O72" s="34">
        <f t="shared" si="1"/>
        <v>189064</v>
      </c>
      <c r="P72" s="35">
        <f>SUM(D72:O72)</f>
        <v>1070150</v>
      </c>
      <c r="Q72" s="34">
        <f>SUM(Q26:Q71)</f>
        <v>24654</v>
      </c>
      <c r="R72" s="58">
        <f>SUM(P72:Q72)</f>
        <v>1094804</v>
      </c>
      <c r="S72" s="2"/>
    </row>
    <row r="73" spans="1:19" ht="13.8" thickBot="1" x14ac:dyDescent="0.3">
      <c r="A73" s="26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46"/>
      <c r="R73" s="57">
        <f>SUM(Q73-P73)</f>
        <v>0</v>
      </c>
      <c r="S73" s="47">
        <f>SUM(S65:S72)</f>
        <v>0</v>
      </c>
    </row>
    <row r="78" spans="1:19" x14ac:dyDescent="0.25">
      <c r="B78" s="37" t="s">
        <v>118</v>
      </c>
      <c r="C78" s="38"/>
      <c r="D78" s="38"/>
      <c r="E78" s="38"/>
      <c r="F78" s="38"/>
      <c r="G78" s="38"/>
      <c r="H78" s="38"/>
      <c r="I78" s="33"/>
      <c r="J78" s="33"/>
      <c r="K78" s="33"/>
      <c r="L78" s="33"/>
      <c r="M78" s="33"/>
      <c r="N78" s="33"/>
      <c r="O78" s="39"/>
      <c r="P78" s="59"/>
      <c r="Q78" s="44">
        <v>7958</v>
      </c>
    </row>
    <row r="79" spans="1:19" x14ac:dyDescent="0.25">
      <c r="B79" s="37" t="s">
        <v>119</v>
      </c>
      <c r="C79" s="38"/>
      <c r="D79" s="38"/>
      <c r="E79" s="38"/>
      <c r="F79" s="38"/>
      <c r="G79" s="38"/>
      <c r="H79" s="38"/>
      <c r="I79" s="33"/>
      <c r="J79" s="33"/>
      <c r="K79" s="33"/>
      <c r="L79" s="33"/>
      <c r="M79" s="33"/>
      <c r="N79" s="33"/>
      <c r="O79" s="39"/>
      <c r="P79" s="59"/>
      <c r="Q79" s="44">
        <v>10739</v>
      </c>
    </row>
    <row r="80" spans="1:19" x14ac:dyDescent="0.25">
      <c r="B80" s="37" t="s">
        <v>120</v>
      </c>
      <c r="C80" s="38"/>
      <c r="D80" s="38"/>
      <c r="E80" s="38"/>
      <c r="F80" s="38"/>
      <c r="G80" s="38"/>
      <c r="H80" s="38"/>
      <c r="I80" s="33"/>
      <c r="J80" s="33"/>
      <c r="K80" s="33"/>
      <c r="L80" s="33"/>
      <c r="M80" s="33"/>
      <c r="N80" s="33"/>
      <c r="O80" s="39"/>
      <c r="P80" s="59"/>
      <c r="Q80" s="44">
        <v>4794</v>
      </c>
    </row>
    <row r="81" spans="2:17" x14ac:dyDescent="0.25">
      <c r="B81" s="37"/>
      <c r="C81" s="38"/>
      <c r="D81" s="38"/>
      <c r="E81" s="38"/>
      <c r="F81" s="38"/>
      <c r="G81" s="38"/>
      <c r="H81" s="38"/>
      <c r="I81" s="33"/>
      <c r="J81" s="33"/>
      <c r="K81" s="33"/>
      <c r="L81" s="33"/>
      <c r="M81" s="33"/>
      <c r="N81" s="33"/>
      <c r="O81" s="39"/>
      <c r="P81" s="23">
        <f>SUM(F81:O81)</f>
        <v>0</v>
      </c>
      <c r="Q81" s="44">
        <v>3252</v>
      </c>
    </row>
  </sheetData>
  <mergeCells count="2">
    <mergeCell ref="A1:P1"/>
    <mergeCell ref="A2:P2"/>
  </mergeCells>
  <pageMargins left="0.25" right="0.25" top="0.75" bottom="0.75" header="0.3" footer="0.3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0"/>
  <sheetViews>
    <sheetView workbookViewId="0">
      <selection activeCell="D13" sqref="D13"/>
    </sheetView>
  </sheetViews>
  <sheetFormatPr defaultColWidth="12.109375" defaultRowHeight="15.6" x14ac:dyDescent="0.25"/>
  <cols>
    <col min="1" max="1" width="16.88671875" style="91" customWidth="1"/>
    <col min="2" max="8" width="10.6640625" style="91" customWidth="1"/>
    <col min="9" max="10" width="12.109375" style="91" hidden="1" customWidth="1"/>
    <col min="11" max="16384" width="12.109375" style="91"/>
  </cols>
  <sheetData>
    <row r="1" spans="1:10" ht="15.75" customHeight="1" x14ac:dyDescent="0.25">
      <c r="A1" s="714" t="s">
        <v>530</v>
      </c>
      <c r="B1" s="691"/>
      <c r="C1" s="691"/>
      <c r="D1" s="691"/>
      <c r="E1" s="691"/>
      <c r="F1" s="691"/>
      <c r="G1" s="691"/>
      <c r="H1" s="715"/>
      <c r="J1" s="215"/>
    </row>
    <row r="2" spans="1:10" ht="15.75" customHeight="1" x14ac:dyDescent="0.25">
      <c r="A2" s="716" t="s">
        <v>648</v>
      </c>
      <c r="B2" s="717"/>
      <c r="C2" s="717"/>
      <c r="D2" s="717"/>
      <c r="E2" s="717"/>
      <c r="F2" s="717"/>
      <c r="G2" s="717"/>
      <c r="H2" s="718"/>
      <c r="J2" s="215"/>
    </row>
    <row r="3" spans="1:10" x14ac:dyDescent="0.25">
      <c r="A3" s="246" t="s">
        <v>295</v>
      </c>
      <c r="B3" s="719" t="s">
        <v>296</v>
      </c>
      <c r="C3" s="215" t="s">
        <v>297</v>
      </c>
      <c r="D3" s="719" t="s">
        <v>441</v>
      </c>
      <c r="E3" s="215" t="s">
        <v>202</v>
      </c>
      <c r="F3" s="719" t="s">
        <v>298</v>
      </c>
      <c r="G3" s="719" t="s">
        <v>523</v>
      </c>
      <c r="H3" s="247" t="s">
        <v>93</v>
      </c>
      <c r="J3" s="215"/>
    </row>
    <row r="4" spans="1:10" x14ac:dyDescent="0.25">
      <c r="A4" s="234"/>
      <c r="B4" s="720"/>
      <c r="C4" s="235"/>
      <c r="D4" s="720"/>
      <c r="E4" s="235"/>
      <c r="F4" s="720"/>
      <c r="G4" s="720"/>
      <c r="H4" s="236"/>
      <c r="J4" s="215"/>
    </row>
    <row r="5" spans="1:10" x14ac:dyDescent="0.25">
      <c r="A5" s="221">
        <v>44652</v>
      </c>
      <c r="B5" s="222">
        <v>13751</v>
      </c>
      <c r="C5" s="222">
        <v>1700</v>
      </c>
      <c r="D5" s="222">
        <v>12651</v>
      </c>
      <c r="E5" s="222">
        <v>7250</v>
      </c>
      <c r="F5" s="222">
        <v>1000</v>
      </c>
      <c r="G5" s="222">
        <v>7150</v>
      </c>
      <c r="H5" s="223">
        <f>SUM(B5:G5)</f>
        <v>43502</v>
      </c>
      <c r="J5" s="215"/>
    </row>
    <row r="6" spans="1:10" x14ac:dyDescent="0.25">
      <c r="A6" s="221">
        <v>44682</v>
      </c>
      <c r="B6" s="222">
        <v>13750</v>
      </c>
      <c r="C6" s="222">
        <v>1700</v>
      </c>
      <c r="D6" s="222">
        <v>12650</v>
      </c>
      <c r="E6" s="222">
        <v>7250</v>
      </c>
      <c r="F6" s="222">
        <v>1000</v>
      </c>
      <c r="G6" s="222">
        <v>7150</v>
      </c>
      <c r="H6" s="223">
        <f t="shared" ref="H6:H16" si="0">SUM(B6:G6)</f>
        <v>43500</v>
      </c>
      <c r="J6" s="215"/>
    </row>
    <row r="7" spans="1:10" x14ac:dyDescent="0.25">
      <c r="A7" s="221">
        <v>44713</v>
      </c>
      <c r="B7" s="222">
        <v>13750</v>
      </c>
      <c r="C7" s="222">
        <v>1700</v>
      </c>
      <c r="D7" s="222">
        <v>12650</v>
      </c>
      <c r="E7" s="222">
        <v>7250</v>
      </c>
      <c r="F7" s="222">
        <v>1000</v>
      </c>
      <c r="G7" s="222">
        <v>7150</v>
      </c>
      <c r="H7" s="223">
        <f t="shared" si="0"/>
        <v>43500</v>
      </c>
      <c r="J7" s="215"/>
    </row>
    <row r="8" spans="1:10" x14ac:dyDescent="0.25">
      <c r="A8" s="221">
        <v>44743</v>
      </c>
      <c r="B8" s="222">
        <v>13750</v>
      </c>
      <c r="C8" s="222">
        <v>1700</v>
      </c>
      <c r="D8" s="222">
        <v>12650</v>
      </c>
      <c r="E8" s="222">
        <v>7250</v>
      </c>
      <c r="F8" s="222">
        <v>1000</v>
      </c>
      <c r="G8" s="222">
        <v>7150</v>
      </c>
      <c r="H8" s="223">
        <f t="shared" si="0"/>
        <v>43500</v>
      </c>
      <c r="J8" s="215"/>
    </row>
    <row r="9" spans="1:10" x14ac:dyDescent="0.25">
      <c r="A9" s="221">
        <v>44774</v>
      </c>
      <c r="B9" s="222">
        <v>13750</v>
      </c>
      <c r="C9" s="222">
        <v>1700</v>
      </c>
      <c r="D9" s="222">
        <v>12650</v>
      </c>
      <c r="E9" s="222">
        <v>7250</v>
      </c>
      <c r="F9" s="222">
        <v>1000</v>
      </c>
      <c r="G9" s="222">
        <v>7150</v>
      </c>
      <c r="H9" s="223">
        <f t="shared" si="0"/>
        <v>43500</v>
      </c>
      <c r="J9" s="215"/>
    </row>
    <row r="10" spans="1:10" x14ac:dyDescent="0.25">
      <c r="A10" s="221">
        <v>44805</v>
      </c>
      <c r="B10" s="222">
        <v>13750</v>
      </c>
      <c r="C10" s="222">
        <v>1700</v>
      </c>
      <c r="D10" s="222">
        <v>12650</v>
      </c>
      <c r="E10" s="222">
        <v>7250</v>
      </c>
      <c r="F10" s="222">
        <v>1000</v>
      </c>
      <c r="G10" s="222">
        <v>7150</v>
      </c>
      <c r="H10" s="223">
        <f t="shared" si="0"/>
        <v>43500</v>
      </c>
      <c r="J10" s="215"/>
    </row>
    <row r="11" spans="1:10" x14ac:dyDescent="0.25">
      <c r="A11" s="221">
        <v>44835</v>
      </c>
      <c r="B11" s="222">
        <v>27500</v>
      </c>
      <c r="C11" s="222">
        <v>1700</v>
      </c>
      <c r="D11" s="222">
        <v>12650</v>
      </c>
      <c r="E11" s="222">
        <v>7250</v>
      </c>
      <c r="F11" s="222">
        <v>1000</v>
      </c>
      <c r="G11" s="222">
        <v>7150</v>
      </c>
      <c r="H11" s="223">
        <f t="shared" si="0"/>
        <v>57250</v>
      </c>
      <c r="J11" s="215"/>
    </row>
    <row r="12" spans="1:10" x14ac:dyDescent="0.25">
      <c r="A12" s="221">
        <v>44866</v>
      </c>
      <c r="B12" s="222">
        <v>13750</v>
      </c>
      <c r="C12" s="222">
        <v>3400</v>
      </c>
      <c r="D12" s="222">
        <v>25300</v>
      </c>
      <c r="E12" s="222">
        <v>14500</v>
      </c>
      <c r="F12" s="222">
        <v>2000</v>
      </c>
      <c r="G12" s="222">
        <v>7150</v>
      </c>
      <c r="H12" s="223">
        <f t="shared" si="0"/>
        <v>66100</v>
      </c>
      <c r="J12" s="215"/>
    </row>
    <row r="13" spans="1:10" x14ac:dyDescent="0.25">
      <c r="A13" s="221">
        <v>44896</v>
      </c>
      <c r="B13" s="222">
        <v>13750</v>
      </c>
      <c r="C13" s="222">
        <v>1700</v>
      </c>
      <c r="D13" s="222">
        <v>12650</v>
      </c>
      <c r="E13" s="222">
        <v>7250</v>
      </c>
      <c r="F13" s="222">
        <v>1000</v>
      </c>
      <c r="G13" s="222">
        <v>7150</v>
      </c>
      <c r="H13" s="223">
        <f t="shared" si="0"/>
        <v>43500</v>
      </c>
      <c r="J13" s="215"/>
    </row>
    <row r="14" spans="1:10" x14ac:dyDescent="0.25">
      <c r="A14" s="221">
        <v>44927</v>
      </c>
      <c r="B14" s="222">
        <v>13750</v>
      </c>
      <c r="C14" s="222">
        <v>1700</v>
      </c>
      <c r="D14" s="222">
        <v>12650</v>
      </c>
      <c r="E14" s="222">
        <v>7250</v>
      </c>
      <c r="F14" s="222">
        <v>1000</v>
      </c>
      <c r="G14" s="222">
        <v>7150</v>
      </c>
      <c r="H14" s="223">
        <f t="shared" si="0"/>
        <v>43500</v>
      </c>
      <c r="J14" s="215"/>
    </row>
    <row r="15" spans="1:10" x14ac:dyDescent="0.25">
      <c r="A15" s="221">
        <v>44958</v>
      </c>
      <c r="B15" s="222">
        <v>13750</v>
      </c>
      <c r="C15" s="222">
        <v>1700</v>
      </c>
      <c r="D15" s="222">
        <v>12650</v>
      </c>
      <c r="E15" s="222">
        <v>7250</v>
      </c>
      <c r="F15" s="222">
        <v>1000</v>
      </c>
      <c r="G15" s="222">
        <v>7150</v>
      </c>
      <c r="H15" s="223">
        <f t="shared" si="0"/>
        <v>43500</v>
      </c>
      <c r="J15" s="215"/>
    </row>
    <row r="16" spans="1:10" x14ac:dyDescent="0.25">
      <c r="A16" s="221">
        <v>44986</v>
      </c>
      <c r="B16" s="222">
        <v>13750</v>
      </c>
      <c r="C16" s="222">
        <v>1700</v>
      </c>
      <c r="D16" s="222">
        <v>12650</v>
      </c>
      <c r="E16" s="222">
        <v>7250</v>
      </c>
      <c r="F16" s="222">
        <v>1000</v>
      </c>
      <c r="G16" s="222">
        <v>7150</v>
      </c>
      <c r="H16" s="223">
        <f t="shared" si="0"/>
        <v>43500</v>
      </c>
      <c r="J16" s="215"/>
    </row>
    <row r="17" spans="1:10" x14ac:dyDescent="0.25">
      <c r="A17" s="224"/>
      <c r="B17" s="225"/>
      <c r="C17" s="225"/>
      <c r="D17" s="225"/>
      <c r="E17" s="225"/>
      <c r="F17" s="225"/>
      <c r="G17" s="225"/>
      <c r="H17" s="226"/>
      <c r="J17" s="215"/>
    </row>
    <row r="18" spans="1:10" x14ac:dyDescent="0.25">
      <c r="A18" s="227" t="s">
        <v>343</v>
      </c>
      <c r="B18" s="228">
        <f>SUM(B5:B16)</f>
        <v>178751</v>
      </c>
      <c r="C18" s="228">
        <f t="shared" ref="C18:G18" si="1">SUM(C5:C16)</f>
        <v>22100</v>
      </c>
      <c r="D18" s="228">
        <f t="shared" si="1"/>
        <v>164451</v>
      </c>
      <c r="E18" s="228">
        <f>SUM(E5:E17)</f>
        <v>94250</v>
      </c>
      <c r="F18" s="228">
        <f t="shared" si="1"/>
        <v>13000</v>
      </c>
      <c r="G18" s="228">
        <f t="shared" si="1"/>
        <v>85800</v>
      </c>
      <c r="H18" s="229">
        <f>SUM(B18:G18)</f>
        <v>558352</v>
      </c>
      <c r="J18" s="215"/>
    </row>
    <row r="19" spans="1:10" x14ac:dyDescent="0.25">
      <c r="A19" s="212"/>
      <c r="B19" s="211"/>
      <c r="C19" s="211"/>
      <c r="D19" s="211"/>
      <c r="E19" s="211"/>
      <c r="F19" s="211"/>
      <c r="G19" s="211"/>
      <c r="H19" s="211"/>
      <c r="J19" s="215"/>
    </row>
    <row r="20" spans="1:10" x14ac:dyDescent="0.25">
      <c r="B20" s="211"/>
      <c r="C20" s="211"/>
      <c r="D20" s="211"/>
      <c r="E20" s="211"/>
      <c r="F20" s="211"/>
      <c r="G20" s="211"/>
      <c r="H20" s="211"/>
      <c r="J20" s="211"/>
    </row>
  </sheetData>
  <mergeCells count="6">
    <mergeCell ref="A1:H1"/>
    <mergeCell ref="A2:H2"/>
    <mergeCell ref="D3:D4"/>
    <mergeCell ref="B3:B4"/>
    <mergeCell ref="G3:G4"/>
    <mergeCell ref="F3:F4"/>
  </mergeCells>
  <pageMargins left="0.70866141732283472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56"/>
  <sheetViews>
    <sheetView workbookViewId="0">
      <selection activeCell="C45" sqref="C45"/>
    </sheetView>
  </sheetViews>
  <sheetFormatPr defaultColWidth="9.109375" defaultRowHeight="15.6" x14ac:dyDescent="0.3"/>
  <cols>
    <col min="1" max="1" width="46.33203125" style="210" bestFit="1" customWidth="1"/>
    <col min="2" max="5" width="12.109375" style="217" bestFit="1" customWidth="1"/>
    <col min="6" max="6" width="11.33203125" style="210" bestFit="1" customWidth="1"/>
    <col min="7" max="16384" width="9.109375" style="210"/>
  </cols>
  <sheetData>
    <row r="1" spans="1:5" x14ac:dyDescent="0.3">
      <c r="A1" s="239" t="s">
        <v>225</v>
      </c>
      <c r="B1" s="691" t="s">
        <v>331</v>
      </c>
      <c r="C1" s="691"/>
      <c r="D1" s="691"/>
      <c r="E1" s="715"/>
    </row>
    <row r="2" spans="1:5" x14ac:dyDescent="0.3">
      <c r="A2" s="240" t="s">
        <v>172</v>
      </c>
      <c r="B2" s="717" t="s">
        <v>648</v>
      </c>
      <c r="C2" s="717"/>
      <c r="D2" s="717"/>
      <c r="E2" s="718"/>
    </row>
    <row r="3" spans="1:5" x14ac:dyDescent="0.3">
      <c r="A3" s="240" t="s">
        <v>225</v>
      </c>
      <c r="B3" s="317" t="s">
        <v>332</v>
      </c>
      <c r="C3" s="687" t="s">
        <v>333</v>
      </c>
      <c r="D3" s="687"/>
      <c r="E3" s="241" t="s">
        <v>334</v>
      </c>
    </row>
    <row r="4" spans="1:5" ht="16.2" thickBot="1" x14ac:dyDescent="0.35">
      <c r="A4" s="242" t="s">
        <v>225</v>
      </c>
      <c r="B4" s="243" t="s">
        <v>392</v>
      </c>
      <c r="C4" s="244" t="s">
        <v>108</v>
      </c>
      <c r="D4" s="244" t="s">
        <v>109</v>
      </c>
      <c r="E4" s="245" t="s">
        <v>392</v>
      </c>
    </row>
    <row r="5" spans="1:5" x14ac:dyDescent="0.3">
      <c r="A5" s="237"/>
      <c r="B5" s="213"/>
      <c r="C5" s="364"/>
      <c r="D5" s="364"/>
      <c r="E5" s="218"/>
    </row>
    <row r="6" spans="1:5" x14ac:dyDescent="0.3">
      <c r="A6" s="368" t="s">
        <v>662</v>
      </c>
      <c r="B6" s="369"/>
      <c r="C6" s="369"/>
      <c r="D6" s="369">
        <v>12000</v>
      </c>
      <c r="E6" s="370">
        <v>12000</v>
      </c>
    </row>
    <row r="7" spans="1:5" x14ac:dyDescent="0.3">
      <c r="A7" s="365" t="s">
        <v>663</v>
      </c>
      <c r="B7" s="366"/>
      <c r="C7" s="366"/>
      <c r="D7" s="366">
        <v>12000</v>
      </c>
      <c r="E7" s="331">
        <v>12000</v>
      </c>
    </row>
    <row r="8" spans="1:5" x14ac:dyDescent="0.3">
      <c r="A8" s="365" t="s">
        <v>664</v>
      </c>
      <c r="B8" s="366">
        <v>6500</v>
      </c>
      <c r="C8" s="366"/>
      <c r="D8" s="366"/>
      <c r="E8" s="331">
        <v>6500</v>
      </c>
    </row>
    <row r="9" spans="1:5" x14ac:dyDescent="0.3">
      <c r="A9" s="365" t="s">
        <v>665</v>
      </c>
      <c r="B9" s="366">
        <v>6000</v>
      </c>
      <c r="C9" s="366"/>
      <c r="D9" s="366"/>
      <c r="E9" s="331">
        <v>6000</v>
      </c>
    </row>
    <row r="10" spans="1:5" x14ac:dyDescent="0.3">
      <c r="A10" s="365" t="s">
        <v>666</v>
      </c>
      <c r="B10" s="366"/>
      <c r="C10" s="366"/>
      <c r="D10" s="366">
        <v>12000</v>
      </c>
      <c r="E10" s="331">
        <v>12000</v>
      </c>
    </row>
    <row r="11" spans="1:5" x14ac:dyDescent="0.3">
      <c r="A11" s="365" t="s">
        <v>667</v>
      </c>
      <c r="B11" s="366">
        <v>5000</v>
      </c>
      <c r="C11" s="366"/>
      <c r="D11" s="366"/>
      <c r="E11" s="331">
        <v>5000</v>
      </c>
    </row>
    <row r="12" spans="1:5" x14ac:dyDescent="0.3">
      <c r="A12" s="365" t="s">
        <v>668</v>
      </c>
      <c r="B12" s="366"/>
      <c r="C12" s="366">
        <v>6000</v>
      </c>
      <c r="D12" s="366">
        <v>12000</v>
      </c>
      <c r="E12" s="331">
        <v>6000</v>
      </c>
    </row>
    <row r="13" spans="1:5" x14ac:dyDescent="0.3">
      <c r="A13" s="365" t="s">
        <v>669</v>
      </c>
      <c r="B13" s="366"/>
      <c r="C13" s="366"/>
      <c r="D13" s="366">
        <v>12000</v>
      </c>
      <c r="E13" s="331">
        <v>12000</v>
      </c>
    </row>
    <row r="14" spans="1:5" x14ac:dyDescent="0.3">
      <c r="A14" s="365" t="s">
        <v>670</v>
      </c>
      <c r="B14" s="366"/>
      <c r="C14" s="366">
        <v>6000</v>
      </c>
      <c r="D14" s="366">
        <v>6000</v>
      </c>
      <c r="E14" s="331"/>
    </row>
    <row r="15" spans="1:5" x14ac:dyDescent="0.3">
      <c r="A15" s="365" t="s">
        <v>671</v>
      </c>
      <c r="B15" s="366"/>
      <c r="C15" s="366"/>
      <c r="D15" s="366">
        <v>6000</v>
      </c>
      <c r="E15" s="331">
        <v>6000</v>
      </c>
    </row>
    <row r="16" spans="1:5" x14ac:dyDescent="0.3">
      <c r="A16" s="365" t="s">
        <v>672</v>
      </c>
      <c r="B16" s="366"/>
      <c r="C16" s="366"/>
      <c r="D16" s="366">
        <v>12000</v>
      </c>
      <c r="E16" s="331">
        <v>12000</v>
      </c>
    </row>
    <row r="17" spans="1:5" x14ac:dyDescent="0.3">
      <c r="A17" s="367" t="s">
        <v>673</v>
      </c>
      <c r="B17" s="366"/>
      <c r="C17" s="366">
        <v>6000</v>
      </c>
      <c r="D17" s="366">
        <v>12000</v>
      </c>
      <c r="E17" s="331">
        <v>6000</v>
      </c>
    </row>
    <row r="18" spans="1:5" x14ac:dyDescent="0.3">
      <c r="A18" s="365" t="s">
        <v>674</v>
      </c>
      <c r="B18" s="366"/>
      <c r="C18" s="366">
        <v>6000</v>
      </c>
      <c r="D18" s="366">
        <v>6000</v>
      </c>
      <c r="E18" s="331"/>
    </row>
    <row r="19" spans="1:5" x14ac:dyDescent="0.3">
      <c r="A19" s="365" t="s">
        <v>675</v>
      </c>
      <c r="B19" s="366"/>
      <c r="C19" s="366"/>
      <c r="D19" s="366">
        <v>12000</v>
      </c>
      <c r="E19" s="331">
        <v>12000</v>
      </c>
    </row>
    <row r="20" spans="1:5" x14ac:dyDescent="0.3">
      <c r="A20" s="365" t="s">
        <v>676</v>
      </c>
      <c r="B20" s="366"/>
      <c r="C20" s="366"/>
      <c r="D20" s="366">
        <v>12000</v>
      </c>
      <c r="E20" s="331">
        <v>12000</v>
      </c>
    </row>
    <row r="21" spans="1:5" x14ac:dyDescent="0.3">
      <c r="A21" s="365" t="s">
        <v>677</v>
      </c>
      <c r="B21" s="366">
        <v>5000</v>
      </c>
      <c r="C21" s="366"/>
      <c r="D21" s="366"/>
      <c r="E21" s="331">
        <v>5000</v>
      </c>
    </row>
    <row r="22" spans="1:5" x14ac:dyDescent="0.3">
      <c r="A22" s="365" t="s">
        <v>678</v>
      </c>
      <c r="B22" s="366"/>
      <c r="C22" s="366">
        <v>12000</v>
      </c>
      <c r="D22" s="366">
        <v>12000</v>
      </c>
      <c r="E22" s="331"/>
    </row>
    <row r="23" spans="1:5" x14ac:dyDescent="0.3">
      <c r="A23" s="365" t="s">
        <v>679</v>
      </c>
      <c r="B23" s="366"/>
      <c r="C23" s="366">
        <v>6000</v>
      </c>
      <c r="D23" s="366">
        <v>12000</v>
      </c>
      <c r="E23" s="331">
        <v>6000</v>
      </c>
    </row>
    <row r="24" spans="1:5" x14ac:dyDescent="0.3">
      <c r="A24" s="365" t="s">
        <v>442</v>
      </c>
      <c r="B24" s="366"/>
      <c r="C24" s="366"/>
      <c r="D24" s="366">
        <v>12000</v>
      </c>
      <c r="E24" s="331">
        <v>12000</v>
      </c>
    </row>
    <row r="25" spans="1:5" x14ac:dyDescent="0.3">
      <c r="A25" s="365" t="s">
        <v>680</v>
      </c>
      <c r="B25" s="366"/>
      <c r="C25" s="366">
        <v>6000</v>
      </c>
      <c r="D25" s="366">
        <v>12000</v>
      </c>
      <c r="E25" s="331">
        <v>6000</v>
      </c>
    </row>
    <row r="26" spans="1:5" x14ac:dyDescent="0.3">
      <c r="A26" s="365" t="s">
        <v>681</v>
      </c>
      <c r="B26" s="366">
        <v>12000</v>
      </c>
      <c r="C26" s="366">
        <v>12000</v>
      </c>
      <c r="D26" s="366"/>
      <c r="E26" s="331"/>
    </row>
    <row r="27" spans="1:5" x14ac:dyDescent="0.3">
      <c r="A27" s="365" t="s">
        <v>682</v>
      </c>
      <c r="B27" s="366"/>
      <c r="C27" s="366">
        <v>6000</v>
      </c>
      <c r="D27" s="366">
        <v>12000</v>
      </c>
      <c r="E27" s="331">
        <v>6000</v>
      </c>
    </row>
    <row r="28" spans="1:5" x14ac:dyDescent="0.3">
      <c r="A28" s="365" t="s">
        <v>683</v>
      </c>
      <c r="B28" s="366">
        <v>5000</v>
      </c>
      <c r="C28" s="366"/>
      <c r="D28" s="366"/>
      <c r="E28" s="331">
        <v>5000</v>
      </c>
    </row>
    <row r="29" spans="1:5" x14ac:dyDescent="0.3">
      <c r="A29" s="365" t="s">
        <v>684</v>
      </c>
      <c r="B29" s="366">
        <v>12000</v>
      </c>
      <c r="C29" s="366">
        <v>12000</v>
      </c>
      <c r="D29" s="366"/>
      <c r="E29" s="331"/>
    </row>
    <row r="30" spans="1:5" x14ac:dyDescent="0.3">
      <c r="A30" s="365" t="s">
        <v>685</v>
      </c>
      <c r="B30" s="366"/>
      <c r="C30" s="366">
        <v>6000</v>
      </c>
      <c r="D30" s="366">
        <v>6000</v>
      </c>
      <c r="E30" s="331"/>
    </row>
    <row r="31" spans="1:5" x14ac:dyDescent="0.3">
      <c r="A31" s="365" t="s">
        <v>524</v>
      </c>
      <c r="B31" s="366">
        <v>5000</v>
      </c>
      <c r="C31" s="366"/>
      <c r="D31" s="366"/>
      <c r="E31" s="331">
        <v>5000</v>
      </c>
    </row>
    <row r="32" spans="1:5" x14ac:dyDescent="0.3">
      <c r="A32" s="365" t="s">
        <v>686</v>
      </c>
      <c r="B32" s="366">
        <v>5000</v>
      </c>
      <c r="C32" s="366"/>
      <c r="D32" s="366"/>
      <c r="E32" s="331">
        <v>5000</v>
      </c>
    </row>
    <row r="33" spans="1:5" x14ac:dyDescent="0.3">
      <c r="A33" s="365" t="s">
        <v>687</v>
      </c>
      <c r="B33" s="366">
        <v>12000</v>
      </c>
      <c r="C33" s="366">
        <v>12000</v>
      </c>
      <c r="D33" s="366"/>
      <c r="E33" s="331"/>
    </row>
    <row r="34" spans="1:5" x14ac:dyDescent="0.3">
      <c r="A34" s="365" t="s">
        <v>688</v>
      </c>
      <c r="B34" s="366">
        <v>6000</v>
      </c>
      <c r="C34" s="366">
        <v>6000</v>
      </c>
      <c r="D34" s="366"/>
      <c r="E34" s="331"/>
    </row>
    <row r="35" spans="1:5" x14ac:dyDescent="0.3">
      <c r="A35" s="365" t="s">
        <v>689</v>
      </c>
      <c r="B35" s="366">
        <v>12000</v>
      </c>
      <c r="C35" s="366">
        <v>6000</v>
      </c>
      <c r="D35" s="366"/>
      <c r="E35" s="331">
        <v>6000</v>
      </c>
    </row>
    <row r="36" spans="1:5" x14ac:dyDescent="0.3">
      <c r="A36" s="365" t="s">
        <v>690</v>
      </c>
      <c r="B36" s="366"/>
      <c r="C36" s="366">
        <v>6000</v>
      </c>
      <c r="D36" s="366">
        <v>12000</v>
      </c>
      <c r="E36" s="331">
        <v>6000</v>
      </c>
    </row>
    <row r="37" spans="1:5" x14ac:dyDescent="0.3">
      <c r="A37" s="365" t="s">
        <v>691</v>
      </c>
      <c r="B37" s="366">
        <v>12000</v>
      </c>
      <c r="C37" s="366">
        <v>6000</v>
      </c>
      <c r="D37" s="366"/>
      <c r="E37" s="331">
        <v>6000</v>
      </c>
    </row>
    <row r="38" spans="1:5" x14ac:dyDescent="0.3">
      <c r="A38" s="365" t="s">
        <v>692</v>
      </c>
      <c r="B38" s="366"/>
      <c r="C38" s="366">
        <v>12000</v>
      </c>
      <c r="D38" s="366">
        <v>12000</v>
      </c>
      <c r="E38" s="331"/>
    </row>
    <row r="39" spans="1:5" x14ac:dyDescent="0.3">
      <c r="A39" s="365" t="s">
        <v>443</v>
      </c>
      <c r="B39" s="366">
        <v>5000</v>
      </c>
      <c r="C39" s="366"/>
      <c r="D39" s="366"/>
      <c r="E39" s="331">
        <v>5000</v>
      </c>
    </row>
    <row r="40" spans="1:5" x14ac:dyDescent="0.3">
      <c r="A40" s="365" t="s">
        <v>525</v>
      </c>
      <c r="B40" s="366">
        <v>5000</v>
      </c>
      <c r="C40" s="366"/>
      <c r="D40" s="366"/>
      <c r="E40" s="331">
        <v>5000</v>
      </c>
    </row>
    <row r="41" spans="1:5" x14ac:dyDescent="0.3">
      <c r="A41" s="365" t="s">
        <v>693</v>
      </c>
      <c r="B41" s="366">
        <v>6000</v>
      </c>
      <c r="C41" s="366">
        <v>6000</v>
      </c>
      <c r="D41" s="366"/>
      <c r="E41" s="331"/>
    </row>
    <row r="42" spans="1:5" x14ac:dyDescent="0.3">
      <c r="A42" s="365" t="s">
        <v>335</v>
      </c>
      <c r="B42" s="366">
        <v>5000</v>
      </c>
      <c r="C42" s="366"/>
      <c r="D42" s="366"/>
      <c r="E42" s="331">
        <v>5000</v>
      </c>
    </row>
    <row r="43" spans="1:5" x14ac:dyDescent="0.3">
      <c r="A43" s="365" t="s">
        <v>694</v>
      </c>
      <c r="B43" s="366">
        <v>6000</v>
      </c>
      <c r="C43" s="366">
        <v>6000</v>
      </c>
      <c r="D43" s="366"/>
      <c r="E43" s="331"/>
    </row>
    <row r="44" spans="1:5" x14ac:dyDescent="0.3">
      <c r="A44" s="365" t="s">
        <v>393</v>
      </c>
      <c r="B44" s="366">
        <v>5000</v>
      </c>
      <c r="C44" s="366"/>
      <c r="D44" s="366"/>
      <c r="E44" s="331">
        <v>5000</v>
      </c>
    </row>
    <row r="45" spans="1:5" x14ac:dyDescent="0.3">
      <c r="A45" s="365" t="s">
        <v>526</v>
      </c>
      <c r="B45" s="366">
        <v>5000</v>
      </c>
      <c r="C45" s="366"/>
      <c r="D45" s="366"/>
      <c r="E45" s="331">
        <v>5000</v>
      </c>
    </row>
    <row r="46" spans="1:5" x14ac:dyDescent="0.3">
      <c r="A46" s="365" t="s">
        <v>394</v>
      </c>
      <c r="B46" s="366">
        <v>5000</v>
      </c>
      <c r="C46" s="366"/>
      <c r="D46" s="366"/>
      <c r="E46" s="331">
        <v>5000</v>
      </c>
    </row>
    <row r="47" spans="1:5" x14ac:dyDescent="0.3">
      <c r="A47" s="365" t="s">
        <v>695</v>
      </c>
      <c r="B47" s="366">
        <v>12000</v>
      </c>
      <c r="C47" s="366">
        <v>6000</v>
      </c>
      <c r="D47" s="366">
        <v>6000</v>
      </c>
      <c r="E47" s="331">
        <v>12000</v>
      </c>
    </row>
    <row r="48" spans="1:5" x14ac:dyDescent="0.3">
      <c r="A48" s="365" t="s">
        <v>336</v>
      </c>
      <c r="B48" s="366">
        <v>5000</v>
      </c>
      <c r="C48" s="366"/>
      <c r="D48" s="366"/>
      <c r="E48" s="331">
        <v>5000</v>
      </c>
    </row>
    <row r="49" spans="1:5" x14ac:dyDescent="0.3">
      <c r="A49" s="365" t="s">
        <v>337</v>
      </c>
      <c r="B49" s="366">
        <v>5000</v>
      </c>
      <c r="C49" s="366"/>
      <c r="D49" s="366"/>
      <c r="E49" s="331">
        <v>5000</v>
      </c>
    </row>
    <row r="50" spans="1:5" x14ac:dyDescent="0.3">
      <c r="A50" s="365" t="s">
        <v>338</v>
      </c>
      <c r="B50" s="366">
        <v>5000</v>
      </c>
      <c r="C50" s="366"/>
      <c r="D50" s="366"/>
      <c r="E50" s="331">
        <v>5000</v>
      </c>
    </row>
    <row r="51" spans="1:5" x14ac:dyDescent="0.3">
      <c r="A51" s="365" t="s">
        <v>527</v>
      </c>
      <c r="B51" s="366">
        <v>5000</v>
      </c>
      <c r="C51" s="366"/>
      <c r="D51" s="366"/>
      <c r="E51" s="331">
        <v>5000</v>
      </c>
    </row>
    <row r="52" spans="1:5" x14ac:dyDescent="0.3">
      <c r="A52" s="365" t="s">
        <v>528</v>
      </c>
      <c r="B52" s="366">
        <v>5000</v>
      </c>
      <c r="C52" s="366"/>
      <c r="D52" s="366"/>
      <c r="E52" s="331">
        <v>5000</v>
      </c>
    </row>
    <row r="53" spans="1:5" x14ac:dyDescent="0.3">
      <c r="A53" s="365" t="s">
        <v>339</v>
      </c>
      <c r="B53" s="366">
        <v>5000</v>
      </c>
      <c r="C53" s="366"/>
      <c r="D53" s="366"/>
      <c r="E53" s="331">
        <v>5000</v>
      </c>
    </row>
    <row r="54" spans="1:5" x14ac:dyDescent="0.3">
      <c r="A54" s="365" t="s">
        <v>696</v>
      </c>
      <c r="B54" s="366">
        <v>6000</v>
      </c>
      <c r="C54" s="366">
        <v>6000</v>
      </c>
      <c r="D54" s="366"/>
      <c r="E54" s="331"/>
    </row>
    <row r="55" spans="1:5" x14ac:dyDescent="0.3">
      <c r="A55" s="365" t="s">
        <v>529</v>
      </c>
      <c r="B55" s="366">
        <v>5000</v>
      </c>
      <c r="C55" s="366"/>
      <c r="D55" s="366"/>
      <c r="E55" s="331">
        <v>5000</v>
      </c>
    </row>
    <row r="56" spans="1:5" x14ac:dyDescent="0.3">
      <c r="A56" s="371" t="s">
        <v>268</v>
      </c>
      <c r="B56" s="373">
        <v>198500</v>
      </c>
      <c r="C56" s="315">
        <v>156000</v>
      </c>
      <c r="D56" s="315">
        <v>222000</v>
      </c>
      <c r="E56" s="372">
        <v>264500</v>
      </c>
    </row>
  </sheetData>
  <mergeCells count="3">
    <mergeCell ref="B1:E1"/>
    <mergeCell ref="B2:E2"/>
    <mergeCell ref="C3:D3"/>
  </mergeCells>
  <pageMargins left="0.46" right="0.3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"/>
  <sheetViews>
    <sheetView workbookViewId="0">
      <selection activeCell="E23" sqref="E23"/>
    </sheetView>
  </sheetViews>
  <sheetFormatPr defaultColWidth="9.109375" defaultRowHeight="15.6" x14ac:dyDescent="0.3"/>
  <cols>
    <col min="1" max="1" width="65.44140625" style="395" bestFit="1" customWidth="1"/>
    <col min="2" max="2" width="16.109375" style="395" customWidth="1"/>
    <col min="3" max="3" width="17.109375" style="395" customWidth="1"/>
    <col min="4" max="16384" width="9.109375" style="395"/>
  </cols>
  <sheetData>
    <row r="1" spans="1:3" x14ac:dyDescent="0.3">
      <c r="A1" s="729" t="s">
        <v>726</v>
      </c>
      <c r="B1" s="729"/>
      <c r="C1" s="729"/>
    </row>
    <row r="2" spans="1:3" x14ac:dyDescent="0.3">
      <c r="A2" s="721" t="s">
        <v>727</v>
      </c>
      <c r="B2" s="721"/>
      <c r="C2" s="721"/>
    </row>
    <row r="3" spans="1:3" x14ac:dyDescent="0.3">
      <c r="A3" s="730" t="s">
        <v>728</v>
      </c>
      <c r="B3" s="730"/>
      <c r="C3" s="730"/>
    </row>
    <row r="4" spans="1:3" x14ac:dyDescent="0.3">
      <c r="A4" s="731" t="s">
        <v>247</v>
      </c>
      <c r="B4" s="731"/>
      <c r="C4" s="731"/>
    </row>
    <row r="5" spans="1:3" x14ac:dyDescent="0.3">
      <c r="A5" s="721" t="s">
        <v>729</v>
      </c>
      <c r="B5" s="721"/>
      <c r="C5" s="721"/>
    </row>
    <row r="6" spans="1:3" x14ac:dyDescent="0.3">
      <c r="A6" s="721" t="s">
        <v>648</v>
      </c>
      <c r="B6" s="721"/>
      <c r="C6" s="721"/>
    </row>
    <row r="7" spans="1:3" x14ac:dyDescent="0.3">
      <c r="A7" s="654" t="s">
        <v>225</v>
      </c>
      <c r="B7" s="732" t="s">
        <v>247</v>
      </c>
      <c r="C7" s="732"/>
    </row>
    <row r="8" spans="1:3" x14ac:dyDescent="0.3">
      <c r="A8" s="655" t="s">
        <v>225</v>
      </c>
      <c r="B8" s="723" t="s">
        <v>730</v>
      </c>
      <c r="C8" s="724"/>
    </row>
    <row r="9" spans="1:3" x14ac:dyDescent="0.3">
      <c r="A9" s="656" t="s">
        <v>172</v>
      </c>
      <c r="B9" s="725" t="s">
        <v>648</v>
      </c>
      <c r="C9" s="726"/>
    </row>
    <row r="10" spans="1:3" x14ac:dyDescent="0.3">
      <c r="A10" s="656" t="s">
        <v>225</v>
      </c>
      <c r="B10" s="727" t="s">
        <v>107</v>
      </c>
      <c r="C10" s="728"/>
    </row>
    <row r="11" spans="1:3" x14ac:dyDescent="0.3">
      <c r="A11" s="657" t="s">
        <v>225</v>
      </c>
      <c r="B11" s="658" t="s">
        <v>108</v>
      </c>
      <c r="C11" s="658" t="s">
        <v>109</v>
      </c>
    </row>
    <row r="12" spans="1:3" x14ac:dyDescent="0.3">
      <c r="A12" s="652" t="s">
        <v>714</v>
      </c>
      <c r="B12" s="659">
        <v>16077164</v>
      </c>
      <c r="C12" s="660"/>
    </row>
    <row r="13" spans="1:3" x14ac:dyDescent="0.3">
      <c r="A13" s="661" t="s">
        <v>731</v>
      </c>
      <c r="B13" s="662">
        <v>501235</v>
      </c>
      <c r="C13" s="663"/>
    </row>
    <row r="14" spans="1:3" x14ac:dyDescent="0.3">
      <c r="A14" s="661" t="s">
        <v>732</v>
      </c>
      <c r="B14" s="662">
        <v>15575929</v>
      </c>
      <c r="C14" s="663"/>
    </row>
    <row r="15" spans="1:3" x14ac:dyDescent="0.3">
      <c r="A15" s="652" t="s">
        <v>715</v>
      </c>
      <c r="B15" s="664">
        <v>3063021.94</v>
      </c>
      <c r="C15" s="665"/>
    </row>
    <row r="16" spans="1:3" x14ac:dyDescent="0.3">
      <c r="A16" s="661" t="s">
        <v>733</v>
      </c>
      <c r="B16" s="662">
        <v>1010762.65</v>
      </c>
      <c r="C16" s="663"/>
    </row>
    <row r="17" spans="1:3" x14ac:dyDescent="0.3">
      <c r="A17" s="661" t="s">
        <v>734</v>
      </c>
      <c r="B17" s="662">
        <v>10000</v>
      </c>
      <c r="C17" s="663"/>
    </row>
    <row r="18" spans="1:3" x14ac:dyDescent="0.3">
      <c r="A18" s="661" t="s">
        <v>735</v>
      </c>
      <c r="B18" s="662">
        <v>2042259.29</v>
      </c>
      <c r="C18" s="663"/>
    </row>
    <row r="19" spans="1:3" x14ac:dyDescent="0.3">
      <c r="A19" s="652" t="s">
        <v>248</v>
      </c>
      <c r="B19" s="664">
        <v>2520</v>
      </c>
      <c r="C19" s="665"/>
    </row>
    <row r="20" spans="1:3" x14ac:dyDescent="0.3">
      <c r="A20" s="661" t="s">
        <v>736</v>
      </c>
      <c r="B20" s="662">
        <v>500</v>
      </c>
      <c r="C20" s="663"/>
    </row>
    <row r="21" spans="1:3" x14ac:dyDescent="0.3">
      <c r="A21" s="661" t="s">
        <v>737</v>
      </c>
      <c r="B21" s="662">
        <v>2000</v>
      </c>
      <c r="C21" s="663"/>
    </row>
    <row r="22" spans="1:3" x14ac:dyDescent="0.3">
      <c r="A22" s="661" t="s">
        <v>738</v>
      </c>
      <c r="B22" s="662">
        <v>20</v>
      </c>
      <c r="C22" s="663"/>
    </row>
    <row r="23" spans="1:3" x14ac:dyDescent="0.3">
      <c r="A23" s="666" t="s">
        <v>268</v>
      </c>
      <c r="B23" s="659">
        <v>19142705.940000001</v>
      </c>
      <c r="C23" s="660"/>
    </row>
    <row r="26" spans="1:3" x14ac:dyDescent="0.3">
      <c r="A26" s="731" t="s">
        <v>254</v>
      </c>
      <c r="B26" s="731"/>
      <c r="C26" s="731"/>
    </row>
    <row r="27" spans="1:3" x14ac:dyDescent="0.3">
      <c r="A27" s="721" t="s">
        <v>729</v>
      </c>
      <c r="B27" s="721"/>
      <c r="C27" s="721"/>
    </row>
    <row r="28" spans="1:3" x14ac:dyDescent="0.3">
      <c r="A28" s="721" t="s">
        <v>648</v>
      </c>
      <c r="B28" s="721"/>
      <c r="C28" s="721"/>
    </row>
    <row r="29" spans="1:3" ht="16.2" x14ac:dyDescent="0.3">
      <c r="A29" s="654" t="s">
        <v>225</v>
      </c>
      <c r="B29" s="722" t="s">
        <v>254</v>
      </c>
      <c r="C29" s="722"/>
    </row>
    <row r="30" spans="1:3" ht="49.2" customHeight="1" x14ac:dyDescent="0.3">
      <c r="A30" s="655" t="s">
        <v>225</v>
      </c>
      <c r="B30" s="723" t="s">
        <v>730</v>
      </c>
      <c r="C30" s="724"/>
    </row>
    <row r="31" spans="1:3" x14ac:dyDescent="0.3">
      <c r="A31" s="656" t="s">
        <v>172</v>
      </c>
      <c r="B31" s="725" t="s">
        <v>648</v>
      </c>
      <c r="C31" s="726"/>
    </row>
    <row r="32" spans="1:3" x14ac:dyDescent="0.3">
      <c r="A32" s="656" t="s">
        <v>225</v>
      </c>
      <c r="B32" s="727" t="s">
        <v>107</v>
      </c>
      <c r="C32" s="728"/>
    </row>
    <row r="33" spans="1:3" x14ac:dyDescent="0.3">
      <c r="A33" s="657" t="s">
        <v>225</v>
      </c>
      <c r="B33" s="658" t="s">
        <v>108</v>
      </c>
      <c r="C33" s="658" t="s">
        <v>109</v>
      </c>
    </row>
    <row r="34" spans="1:3" x14ac:dyDescent="0.3">
      <c r="A34" s="653" t="s">
        <v>739</v>
      </c>
      <c r="B34" s="662">
        <v>17812</v>
      </c>
      <c r="C34" s="663"/>
    </row>
    <row r="35" spans="1:3" x14ac:dyDescent="0.3">
      <c r="A35" s="653" t="s">
        <v>740</v>
      </c>
      <c r="B35" s="662">
        <v>270738.34000000003</v>
      </c>
      <c r="C35" s="663"/>
    </row>
    <row r="36" spans="1:3" x14ac:dyDescent="0.3">
      <c r="A36" s="666" t="s">
        <v>268</v>
      </c>
      <c r="B36" s="659">
        <v>288550.34000000003</v>
      </c>
      <c r="C36" s="660"/>
    </row>
  </sheetData>
  <mergeCells count="17">
    <mergeCell ref="A27:C27"/>
    <mergeCell ref="A1:C1"/>
    <mergeCell ref="A2:C2"/>
    <mergeCell ref="A3:C3"/>
    <mergeCell ref="A4:C4"/>
    <mergeCell ref="A5:C5"/>
    <mergeCell ref="A6:C6"/>
    <mergeCell ref="B7:C7"/>
    <mergeCell ref="B8:C8"/>
    <mergeCell ref="B9:C9"/>
    <mergeCell ref="B10:C10"/>
    <mergeCell ref="A26:C26"/>
    <mergeCell ref="A28:C28"/>
    <mergeCell ref="B29:C29"/>
    <mergeCell ref="B30:C30"/>
    <mergeCell ref="B31:C31"/>
    <mergeCell ref="B32:C3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5"/>
  <sheetViews>
    <sheetView workbookViewId="0">
      <selection activeCell="B1" sqref="B1"/>
    </sheetView>
  </sheetViews>
  <sheetFormatPr defaultColWidth="9.109375" defaultRowHeight="15.6" x14ac:dyDescent="0.3"/>
  <cols>
    <col min="1" max="1" width="48.44140625" style="88" customWidth="1"/>
    <col min="2" max="2" width="9.5546875" style="88" customWidth="1"/>
    <col min="3" max="3" width="21.44140625" style="88" bestFit="1" customWidth="1"/>
    <col min="4" max="4" width="2.6640625" style="88" bestFit="1" customWidth="1"/>
    <col min="5" max="5" width="21.44140625" style="88" bestFit="1" customWidth="1"/>
    <col min="6" max="6" width="12.6640625" style="88" bestFit="1" customWidth="1"/>
    <col min="7" max="8" width="9.109375" style="88"/>
    <col min="9" max="9" width="15.44140625" style="88" bestFit="1" customWidth="1"/>
    <col min="10" max="10" width="9.109375" style="88"/>
    <col min="11" max="11" width="13.109375" style="88" bestFit="1" customWidth="1"/>
    <col min="12" max="12" width="12.44140625" style="88" bestFit="1" customWidth="1"/>
    <col min="13" max="13" width="13.109375" style="88" bestFit="1" customWidth="1"/>
    <col min="14" max="14" width="9.109375" style="88"/>
    <col min="15" max="15" width="13.109375" style="88" bestFit="1" customWidth="1"/>
    <col min="16" max="16" width="9.109375" style="88"/>
    <col min="17" max="17" width="13.109375" style="88" bestFit="1" customWidth="1"/>
    <col min="18" max="16384" width="9.109375" style="88"/>
  </cols>
  <sheetData>
    <row r="1" spans="1:7" ht="21" x14ac:dyDescent="0.4">
      <c r="A1" s="103" t="s">
        <v>344</v>
      </c>
      <c r="B1" s="104"/>
      <c r="C1" s="105"/>
      <c r="D1" s="106"/>
      <c r="E1" s="107"/>
      <c r="F1" s="104"/>
    </row>
    <row r="2" spans="1:7" ht="16.2" thickBot="1" x14ac:dyDescent="0.35">
      <c r="A2" s="104"/>
      <c r="B2" s="104"/>
      <c r="C2" s="105"/>
      <c r="D2" s="106"/>
      <c r="E2" s="107"/>
      <c r="F2" s="104"/>
    </row>
    <row r="3" spans="1:7" x14ac:dyDescent="0.3">
      <c r="A3" s="108"/>
      <c r="B3" s="109"/>
      <c r="C3" s="110"/>
      <c r="D3" s="111"/>
      <c r="E3" s="112"/>
      <c r="F3" s="113"/>
    </row>
    <row r="4" spans="1:7" ht="18" x14ac:dyDescent="0.35">
      <c r="A4" s="114" t="s">
        <v>345</v>
      </c>
      <c r="B4" s="115"/>
      <c r="C4" s="116" t="s">
        <v>346</v>
      </c>
      <c r="D4" s="117"/>
      <c r="E4" s="118" t="s">
        <v>347</v>
      </c>
      <c r="F4" s="119" t="s">
        <v>348</v>
      </c>
    </row>
    <row r="5" spans="1:7" x14ac:dyDescent="0.3">
      <c r="A5" s="120"/>
      <c r="B5" s="115"/>
      <c r="C5" s="121"/>
      <c r="D5" s="122"/>
      <c r="E5" s="123"/>
      <c r="F5" s="124"/>
    </row>
    <row r="6" spans="1:7" x14ac:dyDescent="0.3">
      <c r="A6" s="125" t="s">
        <v>349</v>
      </c>
      <c r="B6" s="115"/>
      <c r="C6" s="121">
        <v>10314813</v>
      </c>
      <c r="D6" s="122"/>
      <c r="E6" s="123">
        <v>4856212</v>
      </c>
      <c r="F6" s="124"/>
    </row>
    <row r="7" spans="1:7" ht="46.8" x14ac:dyDescent="0.3">
      <c r="A7" s="126" t="s">
        <v>350</v>
      </c>
      <c r="B7" s="127"/>
      <c r="C7" s="129">
        <v>-75000</v>
      </c>
      <c r="D7" s="128"/>
      <c r="E7" s="129">
        <v>-75000</v>
      </c>
      <c r="F7" s="130"/>
    </row>
    <row r="8" spans="1:7" x14ac:dyDescent="0.3">
      <c r="A8" s="125"/>
      <c r="B8" s="115"/>
      <c r="C8" s="131"/>
      <c r="D8" s="122"/>
      <c r="E8" s="132"/>
      <c r="F8" s="124"/>
    </row>
    <row r="9" spans="1:7" ht="16.2" thickBot="1" x14ac:dyDescent="0.35">
      <c r="A9" s="126" t="s">
        <v>351</v>
      </c>
      <c r="B9" s="127"/>
      <c r="C9" s="133">
        <v>578426.55000000005</v>
      </c>
      <c r="D9" s="128"/>
      <c r="E9" s="134">
        <v>270081.45</v>
      </c>
      <c r="F9" s="130"/>
    </row>
    <row r="10" spans="1:7" ht="16.2" thickBot="1" x14ac:dyDescent="0.35">
      <c r="A10" s="135" t="s">
        <v>93</v>
      </c>
      <c r="B10" s="115"/>
      <c r="C10" s="136">
        <f>SUM(C6:C9)</f>
        <v>10818239.550000001</v>
      </c>
      <c r="D10" s="122"/>
      <c r="E10" s="136">
        <f>SUM(E6:E9)</f>
        <v>5051293.45</v>
      </c>
      <c r="F10" s="124"/>
    </row>
    <row r="11" spans="1:7" x14ac:dyDescent="0.3">
      <c r="A11" s="120"/>
      <c r="B11" s="115"/>
      <c r="C11" s="121"/>
      <c r="D11" s="122"/>
      <c r="E11" s="123"/>
      <c r="F11" s="124"/>
    </row>
    <row r="12" spans="1:7" x14ac:dyDescent="0.3">
      <c r="A12" s="125" t="s">
        <v>352</v>
      </c>
      <c r="B12" s="115"/>
      <c r="C12" s="137">
        <v>10818239.549999999</v>
      </c>
      <c r="D12" s="117"/>
      <c r="E12" s="138">
        <v>5051293.4499999993</v>
      </c>
      <c r="F12" s="124"/>
      <c r="G12" s="139">
        <f>E12-E10</f>
        <v>0</v>
      </c>
    </row>
    <row r="13" spans="1:7" x14ac:dyDescent="0.3">
      <c r="A13" s="120"/>
      <c r="B13" s="115"/>
      <c r="C13" s="140"/>
      <c r="D13" s="122"/>
      <c r="E13" s="123"/>
      <c r="F13" s="124"/>
    </row>
    <row r="14" spans="1:7" x14ac:dyDescent="0.3">
      <c r="A14" s="141" t="s">
        <v>353</v>
      </c>
      <c r="B14" s="142"/>
      <c r="C14" s="143">
        <v>15961.810000000522</v>
      </c>
      <c r="D14" s="144"/>
      <c r="E14" s="143">
        <f>-7470.06000000052</f>
        <v>-7470.0600000005197</v>
      </c>
      <c r="F14" s="145">
        <f>SUM(C14:E14)</f>
        <v>8491.7500000000018</v>
      </c>
    </row>
    <row r="15" spans="1:7" x14ac:dyDescent="0.3">
      <c r="A15" s="146"/>
      <c r="B15" s="147"/>
      <c r="C15" s="148"/>
      <c r="D15" s="149"/>
      <c r="E15" s="148"/>
      <c r="F15" s="150"/>
    </row>
    <row r="16" spans="1:7" x14ac:dyDescent="0.3">
      <c r="A16" s="151" t="s">
        <v>346</v>
      </c>
      <c r="B16" s="152"/>
      <c r="C16" s="153">
        <f>C6+C7</f>
        <v>10239813</v>
      </c>
      <c r="D16" s="154"/>
      <c r="E16" s="153"/>
      <c r="F16" s="155"/>
    </row>
    <row r="17" spans="1:17" ht="18" x14ac:dyDescent="0.35">
      <c r="A17" s="151" t="s">
        <v>347</v>
      </c>
      <c r="B17" s="152"/>
      <c r="C17" s="153">
        <f>E6+E7</f>
        <v>4781212</v>
      </c>
      <c r="D17" s="154"/>
      <c r="E17" s="153"/>
      <c r="F17" s="155"/>
      <c r="J17" s="156"/>
    </row>
    <row r="18" spans="1:17" ht="16.2" thickBot="1" x14ac:dyDescent="0.35">
      <c r="A18" s="151" t="s">
        <v>354</v>
      </c>
      <c r="B18" s="152"/>
      <c r="C18" s="153">
        <f>C9+E9</f>
        <v>848508</v>
      </c>
      <c r="D18" s="154"/>
      <c r="E18" s="153"/>
      <c r="F18" s="155"/>
    </row>
    <row r="19" spans="1:17" ht="16.2" thickBot="1" x14ac:dyDescent="0.35">
      <c r="A19" s="135" t="s">
        <v>93</v>
      </c>
      <c r="B19" s="115"/>
      <c r="C19" s="157">
        <f>SUM(C16:C18)</f>
        <v>15869533</v>
      </c>
      <c r="D19" s="122"/>
      <c r="E19" s="136">
        <f>SUM(E15:E18)</f>
        <v>0</v>
      </c>
      <c r="F19" s="124"/>
    </row>
    <row r="20" spans="1:17" x14ac:dyDescent="0.3">
      <c r="A20" s="146"/>
      <c r="B20" s="147"/>
      <c r="C20" s="148"/>
      <c r="D20" s="149"/>
      <c r="E20" s="148"/>
      <c r="F20" s="150"/>
    </row>
    <row r="21" spans="1:17" ht="16.2" thickBot="1" x14ac:dyDescent="0.35">
      <c r="A21" s="158"/>
      <c r="B21" s="159"/>
      <c r="C21" s="160"/>
      <c r="D21" s="161"/>
      <c r="E21" s="162"/>
      <c r="F21" s="163"/>
    </row>
    <row r="22" spans="1:17" ht="16.2" thickBot="1" x14ac:dyDescent="0.35"/>
    <row r="23" spans="1:17" x14ac:dyDescent="0.3">
      <c r="A23" s="164"/>
      <c r="B23" s="165"/>
      <c r="C23" s="165"/>
      <c r="D23" s="165"/>
      <c r="E23" s="165"/>
      <c r="F23" s="166"/>
    </row>
    <row r="24" spans="1:17" ht="18" x14ac:dyDescent="0.35">
      <c r="A24" s="114" t="s">
        <v>355</v>
      </c>
      <c r="B24" s="167"/>
      <c r="C24" s="116" t="s">
        <v>346</v>
      </c>
      <c r="D24" s="117"/>
      <c r="E24" s="118" t="s">
        <v>347</v>
      </c>
      <c r="F24" s="168"/>
    </row>
    <row r="25" spans="1:17" x14ac:dyDescent="0.3">
      <c r="A25" s="169"/>
      <c r="B25" s="167"/>
      <c r="C25" s="167"/>
      <c r="D25" s="167"/>
      <c r="E25" s="167"/>
      <c r="F25" s="168"/>
      <c r="I25" s="170"/>
      <c r="J25" s="170"/>
      <c r="K25" s="170"/>
      <c r="L25" s="170"/>
      <c r="M25" s="170"/>
      <c r="N25" s="170"/>
      <c r="O25" s="170"/>
      <c r="P25" s="170"/>
      <c r="Q25" s="170"/>
    </row>
    <row r="26" spans="1:17" x14ac:dyDescent="0.3">
      <c r="A26" s="169"/>
      <c r="B26" s="171" t="s">
        <v>356</v>
      </c>
      <c r="C26" s="172"/>
      <c r="D26" s="167"/>
      <c r="E26" s="167"/>
      <c r="F26" s="173" t="s">
        <v>356</v>
      </c>
    </row>
    <row r="27" spans="1:17" x14ac:dyDescent="0.3">
      <c r="A27" s="169"/>
      <c r="B27" s="171">
        <v>1</v>
      </c>
      <c r="C27" s="123">
        <v>2607848.63</v>
      </c>
      <c r="D27" s="167"/>
      <c r="E27" s="123">
        <v>494765.00000000006</v>
      </c>
      <c r="F27" s="173">
        <v>7</v>
      </c>
    </row>
    <row r="28" spans="1:17" x14ac:dyDescent="0.3">
      <c r="A28" s="169"/>
      <c r="B28" s="171" t="s">
        <v>357</v>
      </c>
      <c r="C28" s="123">
        <v>874998.14999999991</v>
      </c>
      <c r="D28" s="167"/>
      <c r="E28" s="123">
        <v>515744.82</v>
      </c>
      <c r="F28" s="173">
        <v>8</v>
      </c>
    </row>
    <row r="29" spans="1:17" x14ac:dyDescent="0.3">
      <c r="A29" s="169"/>
      <c r="B29" s="171">
        <v>2</v>
      </c>
      <c r="C29" s="123">
        <v>2086920.93</v>
      </c>
      <c r="D29" s="167"/>
      <c r="E29" s="123">
        <v>573624.35</v>
      </c>
      <c r="F29" s="173">
        <v>9</v>
      </c>
    </row>
    <row r="30" spans="1:17" x14ac:dyDescent="0.3">
      <c r="A30" s="169"/>
      <c r="B30" s="171" t="s">
        <v>358</v>
      </c>
      <c r="C30" s="123">
        <v>1023659.6100000001</v>
      </c>
      <c r="D30" s="167"/>
      <c r="E30" s="123">
        <v>762022.42999999993</v>
      </c>
      <c r="F30" s="173">
        <v>15</v>
      </c>
    </row>
    <row r="31" spans="1:17" x14ac:dyDescent="0.3">
      <c r="A31" s="169"/>
      <c r="B31" s="174" t="s">
        <v>359</v>
      </c>
      <c r="C31" s="123">
        <v>1680823.2399999998</v>
      </c>
      <c r="D31" s="167"/>
      <c r="E31" s="123">
        <v>1093819.5999999996</v>
      </c>
      <c r="F31" s="173">
        <v>17</v>
      </c>
    </row>
    <row r="32" spans="1:17" x14ac:dyDescent="0.3">
      <c r="A32" s="169"/>
      <c r="B32" s="175" t="s">
        <v>360</v>
      </c>
      <c r="C32" s="123">
        <v>318759.75</v>
      </c>
      <c r="D32" s="167"/>
      <c r="E32" s="123"/>
      <c r="F32" s="168"/>
    </row>
    <row r="33" spans="1:10" ht="16.2" thickBot="1" x14ac:dyDescent="0.35">
      <c r="A33" s="169"/>
      <c r="B33" s="176"/>
      <c r="C33" s="177"/>
      <c r="D33" s="167"/>
      <c r="E33" s="177"/>
      <c r="F33" s="168"/>
    </row>
    <row r="34" spans="1:10" ht="16.2" thickBot="1" x14ac:dyDescent="0.35">
      <c r="A34" s="178" t="s">
        <v>84</v>
      </c>
      <c r="B34" s="179"/>
      <c r="C34" s="136">
        <f>SUM(C27:C32)</f>
        <v>8593010.3100000005</v>
      </c>
      <c r="D34" s="167"/>
      <c r="E34" s="136">
        <f>SUM(E27:E32)</f>
        <v>3439976.1999999993</v>
      </c>
      <c r="F34" s="168"/>
      <c r="I34" s="139"/>
    </row>
    <row r="35" spans="1:10" x14ac:dyDescent="0.3">
      <c r="A35" s="169"/>
      <c r="B35" s="167"/>
      <c r="C35" s="180"/>
      <c r="D35" s="167"/>
      <c r="E35" s="167"/>
      <c r="F35" s="168"/>
    </row>
    <row r="36" spans="1:10" x14ac:dyDescent="0.3">
      <c r="A36" s="169"/>
      <c r="B36" s="167"/>
      <c r="C36" s="167"/>
      <c r="D36" s="167"/>
      <c r="E36" s="137">
        <f>SUM(C34:E34)</f>
        <v>12032986.51</v>
      </c>
      <c r="F36" s="168"/>
      <c r="I36" s="170">
        <v>14108042</v>
      </c>
      <c r="J36" s="88" t="s">
        <v>361</v>
      </c>
    </row>
    <row r="37" spans="1:10" ht="18" x14ac:dyDescent="0.35">
      <c r="A37" s="114" t="s">
        <v>362</v>
      </c>
      <c r="B37" s="167"/>
      <c r="C37" s="167"/>
      <c r="D37" s="167"/>
      <c r="E37" s="167"/>
      <c r="F37" s="168"/>
      <c r="I37" s="139">
        <f>I36-E36</f>
        <v>2075055.4900000002</v>
      </c>
      <c r="J37" s="88" t="s">
        <v>363</v>
      </c>
    </row>
    <row r="38" spans="1:10" x14ac:dyDescent="0.3">
      <c r="A38" s="169"/>
      <c r="B38" s="167"/>
      <c r="C38" s="167"/>
      <c r="D38" s="167"/>
      <c r="E38" s="167"/>
      <c r="F38" s="168"/>
      <c r="I38" s="139">
        <f>E48</f>
        <v>3836546.49</v>
      </c>
    </row>
    <row r="39" spans="1:10" x14ac:dyDescent="0.3">
      <c r="A39" s="169"/>
      <c r="B39" s="171" t="s">
        <v>356</v>
      </c>
      <c r="C39" s="167"/>
      <c r="D39" s="167"/>
      <c r="E39" s="181"/>
      <c r="F39" s="173" t="s">
        <v>356</v>
      </c>
    </row>
    <row r="40" spans="1:10" x14ac:dyDescent="0.3">
      <c r="A40" s="169"/>
      <c r="B40" s="171">
        <v>1</v>
      </c>
      <c r="C40" s="123">
        <v>339904.31</v>
      </c>
      <c r="D40" s="167"/>
      <c r="E40" s="123">
        <v>212678.83000000002</v>
      </c>
      <c r="F40" s="173">
        <v>7</v>
      </c>
      <c r="I40" s="139">
        <f>I37-I38</f>
        <v>-1761491</v>
      </c>
    </row>
    <row r="41" spans="1:10" x14ac:dyDescent="0.3">
      <c r="A41" s="169"/>
      <c r="B41" s="171" t="s">
        <v>357</v>
      </c>
      <c r="C41" s="123">
        <v>313747.21999999997</v>
      </c>
      <c r="D41" s="167"/>
      <c r="E41" s="123">
        <v>293699.96999999997</v>
      </c>
      <c r="F41" s="173">
        <v>8</v>
      </c>
    </row>
    <row r="42" spans="1:10" x14ac:dyDescent="0.3">
      <c r="A42" s="169"/>
      <c r="B42" s="171">
        <v>2</v>
      </c>
      <c r="C42" s="123">
        <v>507627.04000000004</v>
      </c>
      <c r="D42" s="167"/>
      <c r="E42" s="123">
        <v>211269.07</v>
      </c>
      <c r="F42" s="173">
        <v>9</v>
      </c>
    </row>
    <row r="43" spans="1:10" x14ac:dyDescent="0.3">
      <c r="A43" s="169"/>
      <c r="B43" s="206" t="s">
        <v>358</v>
      </c>
      <c r="C43" s="123">
        <v>607890.09</v>
      </c>
      <c r="D43" s="167"/>
      <c r="E43" s="123">
        <v>287120.26</v>
      </c>
      <c r="F43" s="173">
        <v>15</v>
      </c>
    </row>
    <row r="44" spans="1:10" x14ac:dyDescent="0.3">
      <c r="A44" s="169"/>
      <c r="B44" s="174" t="s">
        <v>359</v>
      </c>
      <c r="C44" s="123">
        <v>456060.58000000007</v>
      </c>
      <c r="D44" s="167"/>
      <c r="E44" s="123">
        <v>606549.12</v>
      </c>
      <c r="F44" s="173">
        <v>17</v>
      </c>
    </row>
    <row r="45" spans="1:10" ht="16.2" thickBot="1" x14ac:dyDescent="0.35">
      <c r="A45" s="169"/>
      <c r="B45" s="175" t="s">
        <v>360</v>
      </c>
      <c r="C45" s="167"/>
      <c r="D45" s="167"/>
      <c r="E45" s="167"/>
      <c r="F45" s="168"/>
    </row>
    <row r="46" spans="1:10" ht="16.2" thickBot="1" x14ac:dyDescent="0.35">
      <c r="A46" s="178" t="s">
        <v>84</v>
      </c>
      <c r="B46" s="167"/>
      <c r="C46" s="136">
        <f>SUM(C40:C45)</f>
        <v>2225229.2400000002</v>
      </c>
      <c r="D46" s="167"/>
      <c r="E46" s="136">
        <f>SUM(E40:E45)</f>
        <v>1611317.25</v>
      </c>
      <c r="F46" s="168"/>
      <c r="I46" s="139"/>
    </row>
    <row r="47" spans="1:10" x14ac:dyDescent="0.3">
      <c r="A47" s="169"/>
      <c r="B47" s="167"/>
      <c r="C47" s="167"/>
      <c r="D47" s="167"/>
      <c r="E47" s="167"/>
      <c r="F47" s="168"/>
    </row>
    <row r="48" spans="1:10" x14ac:dyDescent="0.3">
      <c r="A48" s="169"/>
      <c r="B48" s="167"/>
      <c r="C48" s="167"/>
      <c r="D48" s="167"/>
      <c r="E48" s="137">
        <f>SUM(C46:E46)</f>
        <v>3836546.49</v>
      </c>
      <c r="F48" s="168"/>
    </row>
    <row r="49" spans="1:8" ht="16.2" thickBot="1" x14ac:dyDescent="0.35">
      <c r="A49" s="169"/>
      <c r="B49" s="167"/>
      <c r="C49" s="167"/>
      <c r="D49" s="167"/>
      <c r="E49" s="167"/>
      <c r="F49" s="168"/>
    </row>
    <row r="50" spans="1:8" ht="16.2" thickBot="1" x14ac:dyDescent="0.35">
      <c r="A50" s="178" t="s">
        <v>364</v>
      </c>
      <c r="B50" s="167"/>
      <c r="C50" s="136">
        <f>C34+C46</f>
        <v>10818239.550000001</v>
      </c>
      <c r="D50" s="167"/>
      <c r="E50" s="136">
        <f>E34+E46</f>
        <v>5051293.4499999993</v>
      </c>
      <c r="F50" s="168"/>
    </row>
    <row r="51" spans="1:8" x14ac:dyDescent="0.3">
      <c r="A51" s="182"/>
      <c r="B51" s="183"/>
      <c r="C51" s="184"/>
      <c r="D51" s="183"/>
      <c r="E51" s="184"/>
      <c r="F51" s="185"/>
    </row>
    <row r="52" spans="1:8" x14ac:dyDescent="0.3">
      <c r="A52" s="182"/>
      <c r="B52" s="183"/>
      <c r="C52" s="183"/>
      <c r="D52" s="183"/>
      <c r="E52" s="186">
        <f>SUM(C50:E50)</f>
        <v>15869533</v>
      </c>
      <c r="F52" s="185"/>
    </row>
    <row r="53" spans="1:8" ht="16.2" thickBot="1" x14ac:dyDescent="0.35">
      <c r="A53" s="187"/>
      <c r="B53" s="188"/>
      <c r="C53" s="188"/>
      <c r="D53" s="188"/>
      <c r="E53" s="188"/>
      <c r="F53" s="189"/>
    </row>
    <row r="54" spans="1:8" x14ac:dyDescent="0.3">
      <c r="C54" s="139">
        <f>C50-C10</f>
        <v>0</v>
      </c>
      <c r="E54" s="88">
        <v>15858863</v>
      </c>
    </row>
    <row r="55" spans="1:8" x14ac:dyDescent="0.3">
      <c r="C55" s="139">
        <v>0</v>
      </c>
      <c r="E55" s="139">
        <f>E52-E54</f>
        <v>10670</v>
      </c>
      <c r="H55" s="88" t="s">
        <v>342</v>
      </c>
    </row>
  </sheetData>
  <pageMargins left="0.70866141732283472" right="0.45" top="0.74803149606299213" bottom="0.74803149606299213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6"/>
  <sheetViews>
    <sheetView topLeftCell="A10" workbookViewId="0">
      <selection activeCell="E13" sqref="E13"/>
    </sheetView>
  </sheetViews>
  <sheetFormatPr defaultColWidth="9.109375" defaultRowHeight="15.6" x14ac:dyDescent="0.3"/>
  <cols>
    <col min="1" max="1" width="32" style="102" customWidth="1"/>
    <col min="2" max="2" width="21.33203125" style="194" customWidth="1"/>
    <col min="3" max="3" width="22.88671875" style="194" customWidth="1"/>
    <col min="4" max="4" width="4.109375" style="194" customWidth="1"/>
    <col min="5" max="5" width="23.44140625" style="194" bestFit="1" customWidth="1"/>
    <col min="6" max="6" width="9.109375" style="102"/>
    <col min="7" max="7" width="11.33203125" style="102" bestFit="1" customWidth="1"/>
    <col min="8" max="8" width="9.109375" style="102"/>
    <col min="9" max="9" width="28.33203125" style="102" bestFit="1" customWidth="1"/>
    <col min="10" max="16384" width="9.109375" style="102"/>
  </cols>
  <sheetData>
    <row r="1" spans="1:9" x14ac:dyDescent="0.3">
      <c r="A1" s="197" t="s">
        <v>380</v>
      </c>
    </row>
    <row r="3" spans="1:9" x14ac:dyDescent="0.3">
      <c r="A3" s="102" t="s">
        <v>381</v>
      </c>
      <c r="C3" s="203" t="s">
        <v>382</v>
      </c>
      <c r="E3" s="203" t="s">
        <v>383</v>
      </c>
      <c r="I3" s="102" t="s">
        <v>384</v>
      </c>
    </row>
    <row r="4" spans="1:9" x14ac:dyDescent="0.3">
      <c r="H4" s="205">
        <v>2015</v>
      </c>
      <c r="I4" s="194">
        <v>5170920</v>
      </c>
    </row>
    <row r="5" spans="1:9" x14ac:dyDescent="0.3">
      <c r="A5" s="102" t="s">
        <v>376</v>
      </c>
      <c r="B5" s="194">
        <v>4823091.9000000004</v>
      </c>
      <c r="C5" s="194">
        <f>ROUND(B5/2,0)</f>
        <v>2411546</v>
      </c>
      <c r="E5" s="194">
        <f>C5</f>
        <v>2411546</v>
      </c>
      <c r="H5" s="205"/>
      <c r="I5" s="194"/>
    </row>
    <row r="6" spans="1:9" x14ac:dyDescent="0.3">
      <c r="H6" s="205" t="s">
        <v>385</v>
      </c>
      <c r="I6" s="194">
        <v>2411546</v>
      </c>
    </row>
    <row r="7" spans="1:9" x14ac:dyDescent="0.3">
      <c r="A7" s="102" t="s">
        <v>377</v>
      </c>
      <c r="B7" s="194">
        <v>2582148.9700000002</v>
      </c>
      <c r="C7" s="194">
        <f>ROUND(B7/2,0)</f>
        <v>1291074</v>
      </c>
      <c r="G7" s="102">
        <v>1730000</v>
      </c>
      <c r="H7" s="205" t="s">
        <v>386</v>
      </c>
      <c r="I7" s="194">
        <f>13927527-I6-I4</f>
        <v>6345061</v>
      </c>
    </row>
    <row r="8" spans="1:9" x14ac:dyDescent="0.3">
      <c r="H8" s="205">
        <v>2016</v>
      </c>
      <c r="I8" s="194">
        <f>SUM(I4:I7)</f>
        <v>13927527</v>
      </c>
    </row>
    <row r="9" spans="1:9" x14ac:dyDescent="0.3">
      <c r="A9" s="102" t="s">
        <v>378</v>
      </c>
      <c r="B9" s="194">
        <v>2153384.44</v>
      </c>
      <c r="C9" s="194">
        <f>ROUND(B9/2,0)</f>
        <v>1076692</v>
      </c>
      <c r="I9" s="102">
        <v>201855</v>
      </c>
    </row>
    <row r="10" spans="1:9" x14ac:dyDescent="0.3">
      <c r="I10" s="204">
        <f>SUM(I8:I9)</f>
        <v>14129382</v>
      </c>
    </row>
    <row r="11" spans="1:9" x14ac:dyDescent="0.3">
      <c r="A11" s="102" t="s">
        <v>384</v>
      </c>
    </row>
    <row r="13" spans="1:9" s="195" customFormat="1" ht="31.2" x14ac:dyDescent="0.3">
      <c r="A13" s="195" t="s">
        <v>379</v>
      </c>
      <c r="B13" s="196">
        <v>1000000</v>
      </c>
      <c r="C13" s="194">
        <f>B13</f>
        <v>1000000</v>
      </c>
      <c r="D13" s="196"/>
      <c r="E13" s="196"/>
    </row>
    <row r="15" spans="1:9" x14ac:dyDescent="0.3">
      <c r="B15" s="200">
        <f>SUM(B5:B13)</f>
        <v>10558625.310000001</v>
      </c>
      <c r="C15" s="200">
        <f>SUM(C5:C13)</f>
        <v>5779312</v>
      </c>
    </row>
    <row r="18" spans="1:6" x14ac:dyDescent="0.3">
      <c r="A18" s="102" t="s">
        <v>355</v>
      </c>
      <c r="C18" s="201" t="s">
        <v>346</v>
      </c>
      <c r="D18" s="201"/>
      <c r="E18" s="201" t="s">
        <v>347</v>
      </c>
    </row>
    <row r="20" spans="1:6" x14ac:dyDescent="0.3">
      <c r="B20" s="198" t="s">
        <v>356</v>
      </c>
      <c r="F20" s="102" t="s">
        <v>356</v>
      </c>
    </row>
    <row r="21" spans="1:6" x14ac:dyDescent="0.3">
      <c r="B21" s="202">
        <v>1</v>
      </c>
      <c r="C21" s="194">
        <v>2607848.63</v>
      </c>
      <c r="E21" s="194">
        <v>494765.00000000006</v>
      </c>
      <c r="F21" s="102">
        <v>7</v>
      </c>
    </row>
    <row r="22" spans="1:6" x14ac:dyDescent="0.3">
      <c r="B22" s="198" t="s">
        <v>357</v>
      </c>
      <c r="C22" s="194">
        <v>874998.14999999991</v>
      </c>
      <c r="E22" s="194">
        <v>515744.82</v>
      </c>
      <c r="F22" s="102">
        <v>8</v>
      </c>
    </row>
    <row r="23" spans="1:6" x14ac:dyDescent="0.3">
      <c r="B23" s="202">
        <v>2</v>
      </c>
      <c r="C23" s="194">
        <v>2086920.93</v>
      </c>
      <c r="E23" s="194">
        <v>573624.35</v>
      </c>
      <c r="F23" s="102">
        <v>9</v>
      </c>
    </row>
    <row r="24" spans="1:6" x14ac:dyDescent="0.3">
      <c r="B24" s="198" t="s">
        <v>358</v>
      </c>
      <c r="C24" s="194">
        <v>1023659.6100000001</v>
      </c>
      <c r="E24" s="194">
        <v>762022.42999999993</v>
      </c>
      <c r="F24" s="102">
        <v>15</v>
      </c>
    </row>
    <row r="25" spans="1:6" x14ac:dyDescent="0.3">
      <c r="B25" s="198" t="s">
        <v>359</v>
      </c>
      <c r="C25" s="194">
        <v>1680823.2399999998</v>
      </c>
      <c r="E25" s="194">
        <v>1093819.5999999996</v>
      </c>
      <c r="F25" s="102">
        <v>17</v>
      </c>
    </row>
    <row r="26" spans="1:6" x14ac:dyDescent="0.3">
      <c r="B26" s="198" t="s">
        <v>360</v>
      </c>
      <c r="C26" s="194">
        <v>318759.75</v>
      </c>
      <c r="E26" s="194">
        <v>0</v>
      </c>
    </row>
    <row r="28" spans="1:6" x14ac:dyDescent="0.3">
      <c r="A28" s="102" t="s">
        <v>84</v>
      </c>
      <c r="C28" s="200">
        <v>8593010.3100000005</v>
      </c>
      <c r="D28" s="199"/>
      <c r="E28" s="200">
        <v>3439976.1999999993</v>
      </c>
    </row>
    <row r="30" spans="1:6" x14ac:dyDescent="0.3">
      <c r="E30" s="200">
        <v>12032986.51</v>
      </c>
    </row>
    <row r="31" spans="1:6" x14ac:dyDescent="0.3">
      <c r="A31" s="102" t="s">
        <v>362</v>
      </c>
    </row>
    <row r="33" spans="1:6" x14ac:dyDescent="0.3">
      <c r="B33" s="198" t="s">
        <v>356</v>
      </c>
      <c r="F33" s="102" t="s">
        <v>356</v>
      </c>
    </row>
    <row r="34" spans="1:6" x14ac:dyDescent="0.3">
      <c r="B34" s="202">
        <v>1</v>
      </c>
      <c r="C34" s="194">
        <v>339904.31</v>
      </c>
      <c r="E34" s="194">
        <v>212678.83000000002</v>
      </c>
      <c r="F34" s="102">
        <v>7</v>
      </c>
    </row>
    <row r="35" spans="1:6" x14ac:dyDescent="0.3">
      <c r="B35" s="198" t="s">
        <v>357</v>
      </c>
      <c r="C35" s="194">
        <v>313747.21999999997</v>
      </c>
      <c r="E35" s="194">
        <v>293699.96999999997</v>
      </c>
      <c r="F35" s="102">
        <v>8</v>
      </c>
    </row>
    <row r="36" spans="1:6" x14ac:dyDescent="0.3">
      <c r="B36" s="202">
        <v>2</v>
      </c>
      <c r="C36" s="194">
        <v>507627.04000000004</v>
      </c>
      <c r="E36" s="194">
        <v>211269.07</v>
      </c>
      <c r="F36" s="102">
        <v>9</v>
      </c>
    </row>
    <row r="37" spans="1:6" x14ac:dyDescent="0.3">
      <c r="B37" s="198" t="s">
        <v>358</v>
      </c>
      <c r="C37" s="194">
        <v>607890.09</v>
      </c>
      <c r="E37" s="194">
        <v>287120.26</v>
      </c>
      <c r="F37" s="102">
        <v>15</v>
      </c>
    </row>
    <row r="38" spans="1:6" x14ac:dyDescent="0.3">
      <c r="B38" s="198" t="s">
        <v>359</v>
      </c>
      <c r="C38" s="194">
        <v>456060.58000000007</v>
      </c>
      <c r="E38" s="194">
        <v>606549.12</v>
      </c>
      <c r="F38" s="102">
        <v>17</v>
      </c>
    </row>
    <row r="39" spans="1:6" x14ac:dyDescent="0.3">
      <c r="B39" s="198" t="s">
        <v>360</v>
      </c>
      <c r="C39" s="194">
        <v>0</v>
      </c>
      <c r="E39" s="194">
        <v>0</v>
      </c>
    </row>
    <row r="40" spans="1:6" x14ac:dyDescent="0.3">
      <c r="A40" s="102" t="s">
        <v>84</v>
      </c>
      <c r="C40" s="200">
        <v>2225229.2400000002</v>
      </c>
      <c r="D40" s="199"/>
      <c r="E40" s="200">
        <v>1611317.25</v>
      </c>
    </row>
    <row r="42" spans="1:6" x14ac:dyDescent="0.3">
      <c r="E42" s="200">
        <v>3836546.49</v>
      </c>
    </row>
    <row r="44" spans="1:6" x14ac:dyDescent="0.3">
      <c r="A44" s="102" t="s">
        <v>364</v>
      </c>
      <c r="C44" s="200">
        <v>10818239.550000001</v>
      </c>
      <c r="D44" s="199"/>
      <c r="E44" s="200">
        <v>5051293.4499999993</v>
      </c>
    </row>
    <row r="46" spans="1:6" x14ac:dyDescent="0.3">
      <c r="E46" s="200">
        <v>15869533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3"/>
  <sheetViews>
    <sheetView workbookViewId="0">
      <selection activeCell="B27" sqref="B27"/>
    </sheetView>
  </sheetViews>
  <sheetFormatPr defaultColWidth="9.109375" defaultRowHeight="15.6" x14ac:dyDescent="0.3"/>
  <cols>
    <col min="1" max="1" width="30.109375" style="190" bestFit="1" customWidth="1"/>
    <col min="2" max="2" width="9.109375" style="190"/>
    <col min="3" max="3" width="11.33203125" style="190" bestFit="1" customWidth="1"/>
    <col min="4" max="4" width="9.109375" style="190"/>
    <col min="5" max="5" width="11.33203125" style="190" bestFit="1" customWidth="1"/>
    <col min="6" max="6" width="9.109375" style="190"/>
    <col min="7" max="7" width="10.5546875" style="190" bestFit="1" customWidth="1"/>
    <col min="8" max="8" width="9.109375" style="190"/>
    <col min="9" max="9" width="14.33203125" style="190" bestFit="1" customWidth="1"/>
    <col min="10" max="10" width="9.109375" style="190"/>
    <col min="11" max="11" width="12.6640625" style="190" bestFit="1" customWidth="1"/>
    <col min="12" max="16384" width="9.109375" style="190"/>
  </cols>
  <sheetData>
    <row r="1" spans="1:11" x14ac:dyDescent="0.3">
      <c r="A1" s="190" t="s">
        <v>365</v>
      </c>
    </row>
    <row r="3" spans="1:11" s="191" customFormat="1" x14ac:dyDescent="0.3">
      <c r="A3" s="192" t="s">
        <v>372</v>
      </c>
      <c r="C3" s="191" t="s">
        <v>366</v>
      </c>
      <c r="E3" s="191" t="s">
        <v>367</v>
      </c>
      <c r="G3" s="191" t="s">
        <v>368</v>
      </c>
      <c r="I3" s="191" t="s">
        <v>369</v>
      </c>
      <c r="K3" s="191" t="s">
        <v>93</v>
      </c>
    </row>
    <row r="4" spans="1:11" s="191" customFormat="1" x14ac:dyDescent="0.3">
      <c r="A4" s="192"/>
    </row>
    <row r="5" spans="1:11" x14ac:dyDescent="0.3">
      <c r="A5" s="190" t="s">
        <v>370</v>
      </c>
      <c r="C5" s="190">
        <v>32992</v>
      </c>
      <c r="E5" s="190">
        <v>33853</v>
      </c>
      <c r="G5" s="190">
        <v>33853</v>
      </c>
      <c r="I5" s="190">
        <v>33853</v>
      </c>
      <c r="K5" s="190">
        <f>SUM(C5:I5)</f>
        <v>134551</v>
      </c>
    </row>
    <row r="7" spans="1:11" x14ac:dyDescent="0.3">
      <c r="A7" s="190" t="s">
        <v>371</v>
      </c>
      <c r="C7" s="190">
        <v>-2250</v>
      </c>
      <c r="E7" s="190">
        <v>-5175</v>
      </c>
      <c r="G7" s="190">
        <v>-4350</v>
      </c>
      <c r="I7" s="190">
        <v>-5125</v>
      </c>
      <c r="K7" s="190">
        <f>SUM(C7:I7)</f>
        <v>-16900</v>
      </c>
    </row>
    <row r="9" spans="1:11" x14ac:dyDescent="0.3">
      <c r="C9" s="190">
        <f>SUM(C5:C8)</f>
        <v>30742</v>
      </c>
      <c r="E9" s="190">
        <f>SUM(E5:E8)</f>
        <v>28678</v>
      </c>
      <c r="G9" s="190">
        <f>SUM(G5:G8)</f>
        <v>29503</v>
      </c>
      <c r="I9" s="190">
        <f>SUM(I5:I8)</f>
        <v>28728</v>
      </c>
      <c r="K9" s="190">
        <f>SUM(C9:I9)</f>
        <v>117651</v>
      </c>
    </row>
    <row r="11" spans="1:11" x14ac:dyDescent="0.3">
      <c r="C11" s="190">
        <f>C13-C9</f>
        <v>-30742</v>
      </c>
      <c r="E11" s="190">
        <f>E13-E9</f>
        <v>-28678</v>
      </c>
      <c r="G11" s="190">
        <f>G13-G9</f>
        <v>-825</v>
      </c>
      <c r="I11" s="190">
        <f>I13-I9</f>
        <v>775</v>
      </c>
      <c r="K11" s="190">
        <f>SUM(C11:I11)</f>
        <v>-59470</v>
      </c>
    </row>
    <row r="13" spans="1:11" x14ac:dyDescent="0.3">
      <c r="A13" s="190" t="s">
        <v>106</v>
      </c>
      <c r="C13" s="193"/>
      <c r="E13" s="193"/>
      <c r="G13" s="190">
        <v>28678</v>
      </c>
      <c r="I13" s="190">
        <v>29503</v>
      </c>
      <c r="K13" s="193">
        <f>SUM(C13:I13)</f>
        <v>58181</v>
      </c>
    </row>
    <row r="16" spans="1:11" x14ac:dyDescent="0.3">
      <c r="A16" s="190" t="s">
        <v>373</v>
      </c>
      <c r="K16" s="190">
        <v>5980</v>
      </c>
    </row>
    <row r="18" spans="1:11" x14ac:dyDescent="0.3">
      <c r="A18" s="190" t="s">
        <v>374</v>
      </c>
      <c r="K18" s="190">
        <v>68800</v>
      </c>
    </row>
    <row r="20" spans="1:11" x14ac:dyDescent="0.3">
      <c r="A20" s="190" t="s">
        <v>375</v>
      </c>
      <c r="K20" s="190">
        <v>750</v>
      </c>
    </row>
    <row r="43" spans="2:2" x14ac:dyDescent="0.3">
      <c r="B43" s="8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"/>
  <sheetViews>
    <sheetView workbookViewId="0">
      <selection activeCell="P33" sqref="P33"/>
    </sheetView>
  </sheetViews>
  <sheetFormatPr defaultRowHeight="13.2" x14ac:dyDescent="0.25"/>
  <cols>
    <col min="1" max="1" width="35.88671875" bestFit="1" customWidth="1"/>
    <col min="5" max="5" width="12.88671875" bestFit="1" customWidth="1"/>
    <col min="6" max="8" width="10.109375" bestFit="1" customWidth="1"/>
    <col min="9" max="9" width="10.109375" customWidth="1"/>
  </cols>
  <sheetData>
    <row r="1" spans="1:10" x14ac:dyDescent="0.25">
      <c r="A1" s="99" t="s">
        <v>328</v>
      </c>
    </row>
    <row r="2" spans="1:10" x14ac:dyDescent="0.25">
      <c r="A2" s="79" t="s">
        <v>324</v>
      </c>
    </row>
    <row r="3" spans="1:10" x14ac:dyDescent="0.25">
      <c r="A3" s="79" t="s">
        <v>325</v>
      </c>
    </row>
    <row r="4" spans="1:10" x14ac:dyDescent="0.25">
      <c r="A4" s="79"/>
    </row>
    <row r="5" spans="1:10" x14ac:dyDescent="0.25">
      <c r="A5" s="79"/>
    </row>
    <row r="6" spans="1:10" x14ac:dyDescent="0.25">
      <c r="A6" s="79" t="s">
        <v>327</v>
      </c>
      <c r="B6" t="s">
        <v>329</v>
      </c>
    </row>
    <row r="7" spans="1:10" x14ac:dyDescent="0.25">
      <c r="A7" s="79" t="s">
        <v>326</v>
      </c>
    </row>
    <row r="8" spans="1:10" x14ac:dyDescent="0.25">
      <c r="A8" s="79"/>
    </row>
    <row r="9" spans="1:10" x14ac:dyDescent="0.25">
      <c r="A9" s="79"/>
    </row>
    <row r="13" spans="1:10" x14ac:dyDescent="0.25">
      <c r="E13" s="94"/>
      <c r="F13" s="94"/>
      <c r="G13" s="94"/>
      <c r="H13" s="94"/>
      <c r="I13" s="94"/>
      <c r="J13" s="94"/>
    </row>
    <row r="14" spans="1:10" x14ac:dyDescent="0.25">
      <c r="E14" s="94"/>
      <c r="F14" s="94"/>
      <c r="G14" s="94"/>
      <c r="H14" s="94"/>
      <c r="I14" s="94"/>
      <c r="J14" s="94">
        <v>2800000</v>
      </c>
    </row>
    <row r="15" spans="1:10" x14ac:dyDescent="0.25">
      <c r="E15" s="94"/>
      <c r="F15" s="95">
        <v>43154</v>
      </c>
      <c r="G15" s="95">
        <v>43189</v>
      </c>
      <c r="H15" s="96">
        <f>+G15-F15</f>
        <v>35</v>
      </c>
      <c r="I15" s="96"/>
      <c r="J15" s="94">
        <f>+(J14*5.25%)*H15/365</f>
        <v>14095.890410958904</v>
      </c>
    </row>
    <row r="16" spans="1:10" x14ac:dyDescent="0.25">
      <c r="E16" s="97">
        <v>5000000</v>
      </c>
      <c r="F16" s="95">
        <v>42703</v>
      </c>
      <c r="G16" s="95">
        <v>42916</v>
      </c>
      <c r="H16" s="96">
        <f>+G16-F16</f>
        <v>213</v>
      </c>
      <c r="I16" s="98">
        <v>0.06</v>
      </c>
      <c r="J16" s="94">
        <f>+(E16*I16)*H16/365</f>
        <v>175068.49315068492</v>
      </c>
    </row>
    <row r="17" spans="6:9" x14ac:dyDescent="0.25">
      <c r="I17" s="90"/>
    </row>
    <row r="19" spans="6:9" x14ac:dyDescent="0.25">
      <c r="F19" s="101">
        <v>43190</v>
      </c>
      <c r="G19" s="101">
        <v>42916</v>
      </c>
      <c r="H19" s="100">
        <f>+F19-G19</f>
        <v>274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abSelected="1" topLeftCell="A64" zoomScale="98" zoomScaleNormal="98" zoomScaleSheetLayoutView="100" workbookViewId="0">
      <selection activeCell="F80" sqref="F80"/>
    </sheetView>
  </sheetViews>
  <sheetFormatPr defaultColWidth="9.109375" defaultRowHeight="15.6" x14ac:dyDescent="0.3"/>
  <cols>
    <col min="1" max="1" width="15.6640625" style="395" customWidth="1"/>
    <col min="2" max="2" width="38.5546875" style="395" customWidth="1"/>
    <col min="3" max="3" width="12.33203125" style="395" customWidth="1"/>
    <col min="4" max="4" width="15.6640625" style="395" customWidth="1"/>
    <col min="5" max="5" width="17.88671875" style="395" customWidth="1"/>
    <col min="6" max="6" width="41.44140625" style="395" customWidth="1"/>
    <col min="7" max="7" width="15.109375" style="395" customWidth="1"/>
    <col min="8" max="9" width="15.44140625" style="395" customWidth="1"/>
    <col min="10" max="10" width="14.88671875" style="395" bestFit="1" customWidth="1"/>
    <col min="11" max="16384" width="9.109375" style="395"/>
  </cols>
  <sheetData>
    <row r="1" spans="1:10" x14ac:dyDescent="0.3">
      <c r="A1" s="390"/>
      <c r="B1" s="391"/>
      <c r="C1" s="391"/>
      <c r="D1" s="392" t="s">
        <v>766</v>
      </c>
      <c r="E1" s="391"/>
      <c r="F1" s="391"/>
      <c r="G1" s="391"/>
      <c r="H1" s="393"/>
    </row>
    <row r="2" spans="1:10" ht="8.4" customHeight="1" x14ac:dyDescent="0.3">
      <c r="A2" s="394"/>
      <c r="D2" s="396"/>
      <c r="H2" s="397"/>
    </row>
    <row r="3" spans="1:10" x14ac:dyDescent="0.3">
      <c r="A3" s="394"/>
      <c r="D3" s="398" t="s">
        <v>697</v>
      </c>
      <c r="H3" s="397"/>
    </row>
    <row r="4" spans="1:10" ht="16.2" thickBot="1" x14ac:dyDescent="0.35">
      <c r="A4" s="394"/>
      <c r="D4" s="396"/>
      <c r="H4" s="397"/>
    </row>
    <row r="5" spans="1:10" x14ac:dyDescent="0.3">
      <c r="A5" s="399" t="s">
        <v>39</v>
      </c>
      <c r="B5" s="400" t="s">
        <v>40</v>
      </c>
      <c r="C5" s="401"/>
      <c r="D5" s="399" t="s">
        <v>41</v>
      </c>
      <c r="E5" s="399" t="s">
        <v>39</v>
      </c>
      <c r="F5" s="400" t="s">
        <v>42</v>
      </c>
      <c r="G5" s="401"/>
      <c r="H5" s="399" t="s">
        <v>41</v>
      </c>
      <c r="I5" s="402"/>
      <c r="J5" s="402"/>
    </row>
    <row r="6" spans="1:10" s="432" customFormat="1" ht="19.8" customHeight="1" x14ac:dyDescent="0.25">
      <c r="A6" s="536" t="s">
        <v>43</v>
      </c>
      <c r="B6" s="537"/>
      <c r="C6" s="538"/>
      <c r="D6" s="536" t="s">
        <v>43</v>
      </c>
      <c r="E6" s="536" t="s">
        <v>43</v>
      </c>
      <c r="F6" s="539"/>
      <c r="G6" s="538"/>
      <c r="H6" s="536" t="s">
        <v>43</v>
      </c>
    </row>
    <row r="7" spans="1:10" x14ac:dyDescent="0.3">
      <c r="A7" s="406">
        <v>519502</v>
      </c>
      <c r="B7" s="407" t="s">
        <v>201</v>
      </c>
      <c r="C7" s="408"/>
      <c r="D7" s="409">
        <v>558352</v>
      </c>
      <c r="E7" s="404"/>
      <c r="F7" s="410" t="s">
        <v>277</v>
      </c>
      <c r="G7" s="535"/>
      <c r="H7" s="411"/>
      <c r="I7" s="405"/>
      <c r="J7" s="405"/>
    </row>
    <row r="8" spans="1:10" x14ac:dyDescent="0.3">
      <c r="A8" s="406">
        <v>909138</v>
      </c>
      <c r="B8" s="407" t="s">
        <v>44</v>
      </c>
      <c r="C8" s="408"/>
      <c r="D8" s="409">
        <v>955020</v>
      </c>
      <c r="E8" s="404"/>
      <c r="F8" s="410" t="s">
        <v>276</v>
      </c>
      <c r="G8" s="549"/>
      <c r="H8" s="411"/>
      <c r="I8" s="405"/>
      <c r="J8" s="405"/>
    </row>
    <row r="9" spans="1:10" ht="3" customHeight="1" x14ac:dyDescent="0.3">
      <c r="A9" s="406"/>
      <c r="B9" s="407"/>
      <c r="C9" s="408"/>
      <c r="D9" s="412"/>
      <c r="E9" s="404"/>
      <c r="F9" s="413"/>
      <c r="G9" s="549"/>
      <c r="H9" s="411"/>
      <c r="I9" s="405"/>
      <c r="J9" s="405"/>
    </row>
    <row r="10" spans="1:10" x14ac:dyDescent="0.3">
      <c r="A10" s="406">
        <v>353476</v>
      </c>
      <c r="B10" s="407" t="s">
        <v>45</v>
      </c>
      <c r="C10" s="408"/>
      <c r="D10" s="406">
        <v>58685</v>
      </c>
      <c r="E10" s="404">
        <v>302225</v>
      </c>
      <c r="F10" s="407" t="s">
        <v>217</v>
      </c>
      <c r="G10" s="414">
        <v>214124</v>
      </c>
      <c r="H10" s="411"/>
      <c r="I10" s="405"/>
      <c r="J10" s="405"/>
    </row>
    <row r="11" spans="1:10" x14ac:dyDescent="0.3">
      <c r="A11" s="406">
        <v>31487</v>
      </c>
      <c r="B11" s="407" t="s">
        <v>48</v>
      </c>
      <c r="C11" s="408"/>
      <c r="D11" s="409">
        <v>34125</v>
      </c>
      <c r="E11" s="409">
        <v>32928</v>
      </c>
      <c r="F11" s="407" t="s">
        <v>218</v>
      </c>
      <c r="G11" s="408">
        <v>32928</v>
      </c>
      <c r="H11" s="406"/>
      <c r="I11" s="405"/>
      <c r="J11" s="405"/>
    </row>
    <row r="12" spans="1:10" x14ac:dyDescent="0.3">
      <c r="A12" s="406">
        <v>0</v>
      </c>
      <c r="B12" s="407" t="s">
        <v>725</v>
      </c>
      <c r="C12" s="408"/>
      <c r="D12" s="406">
        <v>215900</v>
      </c>
      <c r="E12" s="409">
        <v>3900</v>
      </c>
      <c r="F12" s="407" t="s">
        <v>219</v>
      </c>
      <c r="G12" s="408">
        <v>3900</v>
      </c>
      <c r="H12" s="406"/>
      <c r="I12" s="405"/>
      <c r="J12" s="405"/>
    </row>
    <row r="13" spans="1:10" x14ac:dyDescent="0.3">
      <c r="A13" s="406">
        <v>426854</v>
      </c>
      <c r="B13" s="407" t="s">
        <v>46</v>
      </c>
      <c r="C13" s="408"/>
      <c r="D13" s="409">
        <v>463240</v>
      </c>
      <c r="E13" s="409">
        <v>279084</v>
      </c>
      <c r="F13" s="407" t="s">
        <v>220</v>
      </c>
      <c r="G13" s="408">
        <v>279396</v>
      </c>
      <c r="H13" s="406"/>
      <c r="I13" s="405"/>
      <c r="J13" s="405"/>
    </row>
    <row r="14" spans="1:10" x14ac:dyDescent="0.3">
      <c r="A14" s="406">
        <v>152832</v>
      </c>
      <c r="B14" s="407" t="s">
        <v>47</v>
      </c>
      <c r="C14" s="408"/>
      <c r="D14" s="409">
        <v>183530</v>
      </c>
      <c r="E14" s="409">
        <v>32892</v>
      </c>
      <c r="F14" s="407" t="s">
        <v>221</v>
      </c>
      <c r="G14" s="408">
        <v>32924</v>
      </c>
      <c r="H14" s="406"/>
      <c r="I14" s="405"/>
      <c r="J14" s="405"/>
    </row>
    <row r="15" spans="1:10" x14ac:dyDescent="0.3">
      <c r="A15" s="406">
        <v>163</v>
      </c>
      <c r="B15" s="407" t="s">
        <v>75</v>
      </c>
      <c r="C15" s="408"/>
      <c r="D15" s="409">
        <v>756</v>
      </c>
      <c r="E15" s="409">
        <v>210812</v>
      </c>
      <c r="F15" s="407" t="s">
        <v>319</v>
      </c>
      <c r="G15" s="408">
        <v>225951</v>
      </c>
      <c r="H15" s="406"/>
      <c r="I15" s="405"/>
      <c r="J15" s="405"/>
    </row>
    <row r="16" spans="1:10" x14ac:dyDescent="0.3">
      <c r="A16" s="406">
        <v>780</v>
      </c>
      <c r="B16" s="407" t="s">
        <v>49</v>
      </c>
      <c r="C16" s="408"/>
      <c r="D16" s="409">
        <v>1464</v>
      </c>
      <c r="E16" s="404">
        <v>240</v>
      </c>
      <c r="F16" s="407" t="s">
        <v>222</v>
      </c>
      <c r="G16" s="414">
        <v>230</v>
      </c>
      <c r="H16" s="406"/>
      <c r="I16" s="405"/>
      <c r="J16" s="405"/>
    </row>
    <row r="17" spans="1:10" x14ac:dyDescent="0.3">
      <c r="A17" s="406">
        <v>200</v>
      </c>
      <c r="B17" s="407" t="s">
        <v>50</v>
      </c>
      <c r="C17" s="408"/>
      <c r="D17" s="409">
        <v>150</v>
      </c>
      <c r="E17" s="404">
        <v>2334374</v>
      </c>
      <c r="F17" s="407" t="s">
        <v>223</v>
      </c>
      <c r="G17" s="414">
        <v>2362964</v>
      </c>
      <c r="H17" s="406"/>
      <c r="I17" s="405"/>
      <c r="J17" s="405"/>
    </row>
    <row r="18" spans="1:10" x14ac:dyDescent="0.3">
      <c r="A18" s="406">
        <v>19852</v>
      </c>
      <c r="B18" s="407" t="s">
        <v>51</v>
      </c>
      <c r="C18" s="408"/>
      <c r="D18" s="409">
        <v>19255</v>
      </c>
      <c r="E18" s="404">
        <v>202281</v>
      </c>
      <c r="F18" s="407" t="s">
        <v>224</v>
      </c>
      <c r="G18" s="414">
        <v>201148</v>
      </c>
      <c r="H18" s="406"/>
      <c r="I18" s="405"/>
      <c r="J18" s="405"/>
    </row>
    <row r="19" spans="1:10" x14ac:dyDescent="0.3">
      <c r="A19" s="406">
        <v>34700</v>
      </c>
      <c r="B19" s="407" t="s">
        <v>52</v>
      </c>
      <c r="C19" s="408"/>
      <c r="D19" s="409">
        <v>34800</v>
      </c>
      <c r="E19" s="404">
        <v>155052</v>
      </c>
      <c r="F19" s="397" t="s">
        <v>216</v>
      </c>
      <c r="G19" s="414">
        <v>155220</v>
      </c>
      <c r="H19" s="406"/>
      <c r="I19" s="405"/>
      <c r="J19" s="405"/>
    </row>
    <row r="20" spans="1:10" x14ac:dyDescent="0.3">
      <c r="A20" s="406">
        <v>94700</v>
      </c>
      <c r="B20" s="407" t="s">
        <v>116</v>
      </c>
      <c r="C20" s="408"/>
      <c r="D20" s="406">
        <f>294508-215900</f>
        <v>78608</v>
      </c>
      <c r="E20" s="404">
        <v>99029</v>
      </c>
      <c r="F20" s="397" t="s">
        <v>215</v>
      </c>
      <c r="G20" s="414">
        <v>103303</v>
      </c>
      <c r="H20" s="406"/>
      <c r="I20" s="405"/>
      <c r="J20" s="405"/>
    </row>
    <row r="21" spans="1:10" x14ac:dyDescent="0.3">
      <c r="A21" s="406">
        <v>3310.1</v>
      </c>
      <c r="B21" s="407" t="s">
        <v>53</v>
      </c>
      <c r="C21" s="408"/>
      <c r="D21" s="409">
        <v>6148.96</v>
      </c>
      <c r="E21" s="404">
        <f>20752+79029</f>
        <v>99781</v>
      </c>
      <c r="F21" s="397" t="s">
        <v>272</v>
      </c>
      <c r="G21" s="414">
        <f>259304+97113</f>
        <v>356417</v>
      </c>
      <c r="H21" s="406"/>
      <c r="I21" s="405"/>
      <c r="J21" s="405"/>
    </row>
    <row r="22" spans="1:10" x14ac:dyDescent="0.3">
      <c r="A22" s="406">
        <v>87649</v>
      </c>
      <c r="B22" s="407" t="s">
        <v>278</v>
      </c>
      <c r="C22" s="408"/>
      <c r="D22" s="409">
        <v>83520</v>
      </c>
      <c r="E22" s="404">
        <v>196368</v>
      </c>
      <c r="F22" s="397" t="s">
        <v>395</v>
      </c>
      <c r="G22" s="414">
        <v>196584</v>
      </c>
      <c r="H22" s="406"/>
      <c r="I22" s="405"/>
      <c r="J22" s="405"/>
    </row>
    <row r="23" spans="1:10" x14ac:dyDescent="0.3">
      <c r="A23" s="406">
        <v>0</v>
      </c>
      <c r="B23" s="407" t="s">
        <v>699</v>
      </c>
      <c r="C23" s="408"/>
      <c r="D23" s="409">
        <v>241516</v>
      </c>
      <c r="E23" s="404">
        <v>29400</v>
      </c>
      <c r="F23" s="397" t="s">
        <v>423</v>
      </c>
      <c r="G23" s="414">
        <v>29400</v>
      </c>
      <c r="H23" s="406"/>
      <c r="I23" s="405"/>
      <c r="J23" s="405"/>
    </row>
    <row r="24" spans="1:10" x14ac:dyDescent="0.3">
      <c r="A24" s="406">
        <v>1828058.86</v>
      </c>
      <c r="B24" s="407" t="s">
        <v>54</v>
      </c>
      <c r="C24" s="408"/>
      <c r="D24" s="409">
        <v>2232671.6</v>
      </c>
      <c r="E24" s="404">
        <v>73200</v>
      </c>
      <c r="F24" s="397" t="s">
        <v>424</v>
      </c>
      <c r="G24" s="414">
        <v>73200</v>
      </c>
      <c r="H24" s="406"/>
      <c r="I24" s="405"/>
      <c r="J24" s="405"/>
    </row>
    <row r="25" spans="1:10" ht="16.2" thickBot="1" x14ac:dyDescent="0.35">
      <c r="A25" s="406">
        <v>3600</v>
      </c>
      <c r="B25" s="407" t="s">
        <v>444</v>
      </c>
      <c r="C25" s="408"/>
      <c r="D25" s="409">
        <v>12252</v>
      </c>
      <c r="E25" s="404"/>
      <c r="F25" s="397"/>
      <c r="G25" s="415"/>
      <c r="H25" s="406">
        <f>SUM(G10:G25)</f>
        <v>4267689</v>
      </c>
      <c r="I25" s="405"/>
      <c r="J25" s="405"/>
    </row>
    <row r="26" spans="1:10" x14ac:dyDescent="0.3">
      <c r="A26" s="406">
        <v>4113</v>
      </c>
      <c r="B26" s="407" t="s">
        <v>300</v>
      </c>
      <c r="C26" s="408"/>
      <c r="D26" s="409">
        <v>10016</v>
      </c>
      <c r="E26" s="406"/>
      <c r="F26" s="410"/>
      <c r="G26" s="416"/>
      <c r="H26" s="404"/>
      <c r="I26" s="405"/>
      <c r="J26" s="405"/>
    </row>
    <row r="27" spans="1:10" x14ac:dyDescent="0.3">
      <c r="A27" s="406">
        <v>21788</v>
      </c>
      <c r="B27" s="407" t="s">
        <v>55</v>
      </c>
      <c r="C27" s="408"/>
      <c r="D27" s="409">
        <v>19220</v>
      </c>
      <c r="E27" s="406"/>
      <c r="F27" s="407"/>
      <c r="G27" s="416"/>
      <c r="H27" s="404"/>
      <c r="I27" s="405"/>
      <c r="J27" s="405"/>
    </row>
    <row r="28" spans="1:10" x14ac:dyDescent="0.3">
      <c r="A28" s="406">
        <v>9596</v>
      </c>
      <c r="B28" s="407" t="s">
        <v>56</v>
      </c>
      <c r="C28" s="408"/>
      <c r="D28" s="409">
        <v>8658</v>
      </c>
      <c r="E28" s="404">
        <v>969108</v>
      </c>
      <c r="F28" s="407" t="s">
        <v>273</v>
      </c>
      <c r="G28" s="416"/>
      <c r="H28" s="404">
        <v>884476</v>
      </c>
      <c r="I28" s="405"/>
      <c r="J28" s="405"/>
    </row>
    <row r="29" spans="1:10" x14ac:dyDescent="0.3">
      <c r="A29" s="406">
        <v>67150</v>
      </c>
      <c r="B29" s="407" t="s">
        <v>170</v>
      </c>
      <c r="C29" s="408"/>
      <c r="D29" s="409">
        <v>71990</v>
      </c>
      <c r="E29" s="409">
        <v>77303</v>
      </c>
      <c r="F29" s="407" t="s">
        <v>214</v>
      </c>
      <c r="G29" s="408"/>
      <c r="H29" s="409">
        <v>35322</v>
      </c>
      <c r="I29" s="405"/>
      <c r="J29" s="405"/>
    </row>
    <row r="30" spans="1:10" x14ac:dyDescent="0.3">
      <c r="A30" s="406">
        <v>15300</v>
      </c>
      <c r="B30" s="407" t="s">
        <v>64</v>
      </c>
      <c r="C30" s="408"/>
      <c r="D30" s="409">
        <v>28970</v>
      </c>
      <c r="E30" s="404">
        <v>0</v>
      </c>
      <c r="F30" s="397" t="s">
        <v>698</v>
      </c>
      <c r="G30" s="414"/>
      <c r="H30" s="404">
        <v>603</v>
      </c>
      <c r="I30" s="405"/>
      <c r="J30" s="405"/>
    </row>
    <row r="31" spans="1:10" x14ac:dyDescent="0.3">
      <c r="A31" s="406">
        <v>654219</v>
      </c>
      <c r="B31" s="407" t="s">
        <v>270</v>
      </c>
      <c r="C31" s="408"/>
      <c r="D31" s="409">
        <v>637710</v>
      </c>
      <c r="E31" s="404">
        <v>54038</v>
      </c>
      <c r="F31" s="397" t="s">
        <v>548</v>
      </c>
      <c r="G31" s="408"/>
      <c r="H31" s="404">
        <v>720</v>
      </c>
      <c r="I31" s="405"/>
      <c r="J31" s="405"/>
    </row>
    <row r="32" spans="1:10" x14ac:dyDescent="0.3">
      <c r="A32" s="406">
        <v>34222</v>
      </c>
      <c r="B32" s="407" t="s">
        <v>208</v>
      </c>
      <c r="C32" s="408"/>
      <c r="D32" s="409">
        <v>34222</v>
      </c>
      <c r="E32" s="404">
        <v>24000</v>
      </c>
      <c r="F32" s="397" t="s">
        <v>453</v>
      </c>
      <c r="G32" s="408"/>
      <c r="H32" s="404">
        <v>61120</v>
      </c>
      <c r="I32" s="405"/>
      <c r="J32" s="405"/>
    </row>
    <row r="33" spans="1:10" x14ac:dyDescent="0.3">
      <c r="A33" s="406">
        <v>27168.37</v>
      </c>
      <c r="B33" s="407" t="s">
        <v>76</v>
      </c>
      <c r="C33" s="408"/>
      <c r="D33" s="409">
        <v>27168.37</v>
      </c>
      <c r="E33" s="404">
        <v>32514.7</v>
      </c>
      <c r="F33" s="397" t="s">
        <v>546</v>
      </c>
      <c r="G33" s="408"/>
      <c r="H33" s="404">
        <v>165497.26999999999</v>
      </c>
      <c r="I33" s="405"/>
      <c r="J33" s="405"/>
    </row>
    <row r="34" spans="1:10" x14ac:dyDescent="0.3">
      <c r="A34" s="406">
        <v>0</v>
      </c>
      <c r="B34" s="397" t="s">
        <v>700</v>
      </c>
      <c r="C34" s="408"/>
      <c r="D34" s="409">
        <v>1860</v>
      </c>
      <c r="E34" s="404">
        <v>10773</v>
      </c>
      <c r="F34" s="397" t="s">
        <v>547</v>
      </c>
      <c r="G34" s="408"/>
      <c r="H34" s="404">
        <v>0</v>
      </c>
      <c r="I34" s="405"/>
      <c r="J34" s="405"/>
    </row>
    <row r="35" spans="1:10" x14ac:dyDescent="0.3">
      <c r="A35" s="406">
        <v>0</v>
      </c>
      <c r="B35" s="407" t="s">
        <v>422</v>
      </c>
      <c r="C35" s="408"/>
      <c r="D35" s="404">
        <v>4366</v>
      </c>
      <c r="E35" s="404"/>
      <c r="F35" s="397"/>
      <c r="G35" s="408"/>
      <c r="H35" s="404"/>
      <c r="I35" s="405"/>
      <c r="J35" s="405"/>
    </row>
    <row r="36" spans="1:10" x14ac:dyDescent="0.3">
      <c r="A36" s="406">
        <v>16992</v>
      </c>
      <c r="B36" s="407" t="s">
        <v>543</v>
      </c>
      <c r="C36" s="408"/>
      <c r="D36" s="409">
        <v>0</v>
      </c>
      <c r="E36" s="406"/>
      <c r="F36" s="410" t="s">
        <v>213</v>
      </c>
      <c r="G36" s="408"/>
      <c r="H36" s="406"/>
      <c r="I36" s="405"/>
      <c r="J36" s="405"/>
    </row>
    <row r="37" spans="1:10" x14ac:dyDescent="0.3">
      <c r="A37" s="406">
        <v>5400</v>
      </c>
      <c r="B37" s="417" t="s">
        <v>451</v>
      </c>
      <c r="C37" s="418"/>
      <c r="D37" s="409">
        <v>4410</v>
      </c>
      <c r="E37" s="406">
        <f>16226.57+36130</f>
        <v>52356.57</v>
      </c>
      <c r="F37" s="407" t="s">
        <v>387</v>
      </c>
      <c r="G37" s="408"/>
      <c r="H37" s="406">
        <f>18873.16+63950</f>
        <v>82823.16</v>
      </c>
      <c r="I37" s="405"/>
      <c r="J37" s="405"/>
    </row>
    <row r="38" spans="1:10" x14ac:dyDescent="0.3">
      <c r="A38" s="404">
        <v>9781.19</v>
      </c>
      <c r="B38" s="417" t="s">
        <v>452</v>
      </c>
      <c r="C38" s="418"/>
      <c r="D38" s="404"/>
      <c r="E38" s="406"/>
      <c r="F38" s="410"/>
      <c r="G38" s="408"/>
      <c r="H38" s="406"/>
      <c r="I38" s="405"/>
      <c r="J38" s="405"/>
    </row>
    <row r="39" spans="1:10" x14ac:dyDescent="0.3">
      <c r="A39" s="406">
        <v>32790</v>
      </c>
      <c r="B39" s="417" t="s">
        <v>549</v>
      </c>
      <c r="C39" s="419"/>
      <c r="D39" s="406"/>
      <c r="E39" s="406"/>
      <c r="F39" s="410" t="s">
        <v>212</v>
      </c>
      <c r="G39" s="414"/>
      <c r="H39" s="404"/>
      <c r="I39" s="405"/>
      <c r="J39" s="405"/>
    </row>
    <row r="40" spans="1:10" ht="16.2" thickBot="1" x14ac:dyDescent="0.35">
      <c r="A40" s="420"/>
      <c r="C40" s="421"/>
      <c r="D40" s="420"/>
      <c r="E40" s="406">
        <v>1006240</v>
      </c>
      <c r="F40" s="407" t="s">
        <v>211</v>
      </c>
      <c r="G40" s="422">
        <f>476450+574025</f>
        <v>1050475</v>
      </c>
      <c r="H40" s="406">
        <f>SUM(G39:G40)</f>
        <v>1050475</v>
      </c>
      <c r="I40" s="405"/>
      <c r="J40" s="405"/>
    </row>
    <row r="41" spans="1:10" x14ac:dyDescent="0.3">
      <c r="A41" s="406"/>
      <c r="B41" s="423"/>
      <c r="C41" s="419"/>
      <c r="D41" s="406"/>
      <c r="E41" s="406"/>
      <c r="F41" s="407"/>
      <c r="G41" s="408"/>
      <c r="H41" s="406"/>
      <c r="I41" s="405"/>
      <c r="J41" s="405"/>
    </row>
    <row r="42" spans="1:10" s="432" customFormat="1" ht="16.2" thickBot="1" x14ac:dyDescent="0.3">
      <c r="A42" s="424">
        <f>SUM(A7:A39)</f>
        <v>5364821.5200000005</v>
      </c>
      <c r="B42" s="425"/>
      <c r="C42" s="426">
        <f>SUM(C7:C41)</f>
        <v>0</v>
      </c>
      <c r="D42" s="427">
        <f>SUM(D7:D41)</f>
        <v>6028583.9300000006</v>
      </c>
      <c r="E42" s="424">
        <f>SUM(E7:E41)</f>
        <v>6277899.2700000005</v>
      </c>
      <c r="F42" s="428"/>
      <c r="G42" s="429"/>
      <c r="H42" s="430">
        <f>SUM(H7:H41)</f>
        <v>6548725.4299999997</v>
      </c>
      <c r="I42" s="431"/>
      <c r="J42" s="431"/>
    </row>
    <row r="43" spans="1:10" ht="16.2" thickBot="1" x14ac:dyDescent="0.35">
      <c r="A43" s="433"/>
      <c r="B43" s="402"/>
      <c r="C43" s="402"/>
      <c r="D43" s="402"/>
      <c r="E43" s="434"/>
      <c r="F43" s="423"/>
      <c r="G43" s="417"/>
      <c r="H43" s="435" t="s">
        <v>57</v>
      </c>
      <c r="I43" s="405"/>
      <c r="J43" s="405"/>
    </row>
    <row r="44" spans="1:10" x14ac:dyDescent="0.3">
      <c r="A44" s="436"/>
      <c r="B44" s="436"/>
      <c r="C44" s="436"/>
      <c r="D44" s="437"/>
      <c r="E44" s="436"/>
      <c r="F44" s="436"/>
      <c r="G44" s="436"/>
      <c r="H44" s="436"/>
    </row>
    <row r="45" spans="1:10" x14ac:dyDescent="0.3">
      <c r="A45" s="438" t="s">
        <v>39</v>
      </c>
      <c r="B45" s="438" t="s">
        <v>40</v>
      </c>
      <c r="C45" s="438"/>
      <c r="D45" s="433" t="s">
        <v>41</v>
      </c>
      <c r="E45" s="438" t="s">
        <v>39</v>
      </c>
      <c r="F45" s="438" t="s">
        <v>42</v>
      </c>
      <c r="G45" s="438"/>
      <c r="H45" s="438" t="s">
        <v>41</v>
      </c>
    </row>
    <row r="46" spans="1:10" x14ac:dyDescent="0.3">
      <c r="A46" s="438" t="s">
        <v>43</v>
      </c>
      <c r="B46" s="439"/>
      <c r="C46" s="439"/>
      <c r="D46" s="433" t="s">
        <v>43</v>
      </c>
      <c r="E46" s="438" t="s">
        <v>43</v>
      </c>
      <c r="F46" s="439"/>
      <c r="G46" s="439"/>
      <c r="H46" s="438" t="s">
        <v>43</v>
      </c>
      <c r="I46" s="402"/>
      <c r="J46" s="402"/>
    </row>
    <row r="47" spans="1:10" ht="16.2" thickBot="1" x14ac:dyDescent="0.35">
      <c r="A47" s="440"/>
      <c r="B47" s="441"/>
      <c r="C47" s="441"/>
      <c r="D47" s="442"/>
      <c r="E47" s="440"/>
      <c r="F47" s="441"/>
      <c r="G47" s="441"/>
      <c r="H47" s="440"/>
    </row>
    <row r="48" spans="1:10" x14ac:dyDescent="0.3">
      <c r="A48" s="443">
        <f>A42</f>
        <v>5364821.5200000005</v>
      </c>
      <c r="B48" s="444" t="s">
        <v>70</v>
      </c>
      <c r="C48" s="439"/>
      <c r="D48" s="445">
        <f>D42</f>
        <v>6028583.9300000006</v>
      </c>
      <c r="E48" s="446">
        <f>E42</f>
        <v>6277899.2700000005</v>
      </c>
      <c r="F48" s="444" t="s">
        <v>70</v>
      </c>
      <c r="G48" s="447"/>
      <c r="H48" s="446">
        <f>H42</f>
        <v>6548725.4299999997</v>
      </c>
    </row>
    <row r="49" spans="1:8" x14ac:dyDescent="0.3">
      <c r="A49" s="448"/>
      <c r="B49" s="439"/>
      <c r="C49" s="439"/>
      <c r="D49" s="445"/>
      <c r="E49" s="448"/>
      <c r="F49" s="439"/>
      <c r="G49" s="447"/>
      <c r="H49" s="443"/>
    </row>
    <row r="50" spans="1:8" x14ac:dyDescent="0.3">
      <c r="A50" s="449"/>
      <c r="B50" s="450" t="s">
        <v>210</v>
      </c>
      <c r="C50" s="451"/>
      <c r="D50" s="452"/>
      <c r="E50" s="453">
        <v>0</v>
      </c>
      <c r="F50" s="454" t="s">
        <v>274</v>
      </c>
      <c r="G50" s="447"/>
      <c r="H50" s="453">
        <v>0</v>
      </c>
    </row>
    <row r="51" spans="1:8" x14ac:dyDescent="0.3">
      <c r="A51" s="453">
        <v>515.44000000000005</v>
      </c>
      <c r="B51" s="451" t="s">
        <v>58</v>
      </c>
      <c r="C51" s="453">
        <v>463.9</v>
      </c>
      <c r="D51" s="455"/>
      <c r="E51" s="453"/>
      <c r="F51" s="454"/>
      <c r="G51" s="456"/>
      <c r="H51" s="456"/>
    </row>
    <row r="52" spans="1:8" x14ac:dyDescent="0.3">
      <c r="A52" s="453">
        <v>2789.7</v>
      </c>
      <c r="B52" s="451" t="s">
        <v>271</v>
      </c>
      <c r="C52" s="453">
        <v>9806.14</v>
      </c>
      <c r="D52" s="455"/>
      <c r="E52" s="453"/>
      <c r="F52" s="454"/>
      <c r="G52" s="447"/>
      <c r="H52" s="453"/>
    </row>
    <row r="53" spans="1:8" x14ac:dyDescent="0.3">
      <c r="A53" s="453">
        <v>13074.85</v>
      </c>
      <c r="B53" s="451" t="s">
        <v>59</v>
      </c>
      <c r="C53" s="453">
        <v>2092.27</v>
      </c>
      <c r="D53" s="455"/>
      <c r="E53" s="453"/>
      <c r="F53" s="454"/>
      <c r="G53" s="447"/>
      <c r="H53" s="453"/>
    </row>
    <row r="54" spans="1:8" x14ac:dyDescent="0.3">
      <c r="A54" s="453">
        <v>1307.8399999999999</v>
      </c>
      <c r="B54" s="451" t="s">
        <v>60</v>
      </c>
      <c r="C54" s="453">
        <v>5232.8599999999997</v>
      </c>
      <c r="D54" s="455"/>
      <c r="E54" s="453"/>
      <c r="F54" s="454"/>
      <c r="G54" s="447"/>
      <c r="H54" s="453"/>
    </row>
    <row r="55" spans="1:8" x14ac:dyDescent="0.3">
      <c r="A55" s="453">
        <v>1998.1</v>
      </c>
      <c r="B55" s="451" t="s">
        <v>61</v>
      </c>
      <c r="C55" s="453">
        <v>1575.99</v>
      </c>
      <c r="D55" s="455"/>
      <c r="E55" s="453"/>
      <c r="F55" s="454"/>
      <c r="G55" s="447"/>
      <c r="H55" s="453"/>
    </row>
    <row r="56" spans="1:8" x14ac:dyDescent="0.3">
      <c r="A56" s="453">
        <v>17854.400000000001</v>
      </c>
      <c r="B56" s="451" t="s">
        <v>62</v>
      </c>
      <c r="C56" s="453">
        <v>17316.650000000001</v>
      </c>
      <c r="D56" s="455"/>
      <c r="E56" s="453"/>
      <c r="F56" s="454"/>
      <c r="G56" s="447"/>
      <c r="H56" s="453"/>
    </row>
    <row r="57" spans="1:8" x14ac:dyDescent="0.3">
      <c r="A57" s="453">
        <v>13924.46</v>
      </c>
      <c r="B57" s="451" t="s">
        <v>115</v>
      </c>
      <c r="C57" s="453">
        <v>22789.67</v>
      </c>
      <c r="D57" s="455"/>
      <c r="E57" s="453"/>
      <c r="F57" s="454"/>
      <c r="G57" s="447"/>
      <c r="H57" s="453"/>
    </row>
    <row r="58" spans="1:8" x14ac:dyDescent="0.3">
      <c r="A58" s="453">
        <v>1450.82</v>
      </c>
      <c r="B58" s="451" t="s">
        <v>301</v>
      </c>
      <c r="C58" s="453">
        <v>1294.8399999999999</v>
      </c>
      <c r="D58" s="455"/>
      <c r="E58" s="453"/>
      <c r="F58" s="454"/>
      <c r="G58" s="447"/>
      <c r="H58" s="453"/>
    </row>
    <row r="59" spans="1:8" x14ac:dyDescent="0.3">
      <c r="A59" s="453">
        <v>29198.65</v>
      </c>
      <c r="B59" s="451" t="s">
        <v>455</v>
      </c>
      <c r="C59" s="453">
        <v>24818.85</v>
      </c>
      <c r="D59" s="455"/>
      <c r="E59" s="453"/>
      <c r="F59" s="454"/>
      <c r="G59" s="447"/>
      <c r="H59" s="453"/>
    </row>
    <row r="60" spans="1:8" x14ac:dyDescent="0.3">
      <c r="A60" s="453">
        <v>808.49</v>
      </c>
      <c r="B60" s="451" t="s">
        <v>450</v>
      </c>
      <c r="C60" s="453">
        <v>687.21</v>
      </c>
      <c r="D60" s="455"/>
      <c r="E60" s="453"/>
      <c r="F60" s="454"/>
      <c r="G60" s="447"/>
      <c r="H60" s="453"/>
    </row>
    <row r="61" spans="1:8" x14ac:dyDescent="0.3">
      <c r="A61" s="453">
        <v>688.77</v>
      </c>
      <c r="B61" s="451" t="s">
        <v>544</v>
      </c>
      <c r="C61" s="457">
        <v>710.28</v>
      </c>
      <c r="D61" s="455">
        <f>SUM(C51:C61)</f>
        <v>86788.659999999989</v>
      </c>
      <c r="E61" s="453"/>
      <c r="F61" s="454"/>
      <c r="G61" s="447"/>
      <c r="H61" s="453"/>
    </row>
    <row r="62" spans="1:8" ht="4.5" customHeight="1" x14ac:dyDescent="0.3">
      <c r="A62" s="453"/>
      <c r="B62" s="451"/>
      <c r="C62" s="458"/>
      <c r="D62" s="455"/>
      <c r="E62" s="453"/>
      <c r="F62" s="454"/>
      <c r="G62" s="447"/>
      <c r="H62" s="453"/>
    </row>
    <row r="63" spans="1:8" x14ac:dyDescent="0.3">
      <c r="A63" s="453">
        <f>E48-A48-SUM(A51:A61)</f>
        <v>829466.23</v>
      </c>
      <c r="B63" s="454" t="s">
        <v>425</v>
      </c>
      <c r="C63" s="447"/>
      <c r="D63" s="455">
        <f>H48-D61-D48</f>
        <v>433352.83999999892</v>
      </c>
      <c r="E63" s="454"/>
      <c r="F63" s="454"/>
      <c r="G63" s="447"/>
      <c r="H63" s="454"/>
    </row>
    <row r="64" spans="1:8" ht="16.2" thickBot="1" x14ac:dyDescent="0.35">
      <c r="A64" s="459"/>
      <c r="B64" s="460"/>
      <c r="C64" s="454"/>
      <c r="D64" s="461"/>
      <c r="E64" s="462"/>
      <c r="F64" s="460"/>
      <c r="G64" s="447"/>
      <c r="H64" s="463"/>
    </row>
    <row r="65" spans="1:10" ht="30" customHeight="1" thickBot="1" x14ac:dyDescent="0.35">
      <c r="A65" s="464">
        <f>SUM(A48:A64)</f>
        <v>6277899.2700000014</v>
      </c>
      <c r="B65" s="465"/>
      <c r="C65" s="466"/>
      <c r="D65" s="467">
        <f>SUM(D48:D64)</f>
        <v>6548725.4299999997</v>
      </c>
      <c r="E65" s="468">
        <f>SUM(E48:E64)</f>
        <v>6277899.2700000005</v>
      </c>
      <c r="F65" s="469"/>
      <c r="G65" s="470"/>
      <c r="H65" s="468">
        <f>SUM(H48:H64)</f>
        <v>6548725.4299999997</v>
      </c>
    </row>
    <row r="66" spans="1:10" x14ac:dyDescent="0.3">
      <c r="A66" s="453"/>
      <c r="B66" s="454"/>
      <c r="C66" s="454"/>
      <c r="D66" s="471"/>
      <c r="E66" s="459"/>
      <c r="F66" s="472"/>
      <c r="G66" s="447"/>
      <c r="H66" s="463"/>
      <c r="I66" s="473"/>
    </row>
    <row r="67" spans="1:10" x14ac:dyDescent="0.3">
      <c r="A67" s="474">
        <f>E50</f>
        <v>0</v>
      </c>
      <c r="B67" s="454" t="s">
        <v>173</v>
      </c>
      <c r="C67" s="454"/>
      <c r="D67" s="455">
        <f>H52</f>
        <v>0</v>
      </c>
      <c r="E67" s="453">
        <f>A63</f>
        <v>829466.23</v>
      </c>
      <c r="F67" s="454" t="s">
        <v>110</v>
      </c>
      <c r="G67" s="447"/>
      <c r="H67" s="456">
        <f>D63</f>
        <v>433352.83999999892</v>
      </c>
    </row>
    <row r="68" spans="1:10" x14ac:dyDescent="0.3">
      <c r="A68" s="474">
        <v>207404.05718717468</v>
      </c>
      <c r="B68" s="454" t="s">
        <v>540</v>
      </c>
      <c r="C68" s="454"/>
      <c r="D68" s="475">
        <f>ROUND(D63*25%,0)</f>
        <v>108338</v>
      </c>
      <c r="E68" s="459"/>
      <c r="F68" s="454"/>
      <c r="G68" s="447"/>
      <c r="H68" s="456"/>
    </row>
    <row r="69" spans="1:10" x14ac:dyDescent="0.3">
      <c r="A69" s="475">
        <f>ROUND(A63*26.22%,0)+14</f>
        <v>217500</v>
      </c>
      <c r="B69" s="454" t="s">
        <v>541</v>
      </c>
      <c r="C69" s="454"/>
      <c r="D69" s="475">
        <v>217500</v>
      </c>
      <c r="E69" s="459"/>
      <c r="F69" s="454"/>
      <c r="G69" s="447"/>
      <c r="H69" s="456"/>
    </row>
    <row r="70" spans="1:10" x14ac:dyDescent="0.3">
      <c r="A70" s="453"/>
      <c r="B70" s="451"/>
      <c r="C70" s="454"/>
      <c r="D70" s="475"/>
      <c r="E70" s="456"/>
      <c r="F70" s="454"/>
      <c r="G70" s="447"/>
      <c r="H70" s="456"/>
    </row>
    <row r="71" spans="1:10" x14ac:dyDescent="0.3">
      <c r="A71" s="456">
        <f>E67-A68-A69-A70</f>
        <v>404562.1728128253</v>
      </c>
      <c r="B71" s="454" t="s">
        <v>209</v>
      </c>
      <c r="C71" s="454"/>
      <c r="D71" s="477">
        <f>D73-D68-D69-D70</f>
        <v>107514.83999999892</v>
      </c>
      <c r="E71" s="463">
        <f>A67</f>
        <v>0</v>
      </c>
      <c r="F71" s="454" t="s">
        <v>209</v>
      </c>
      <c r="G71" s="454"/>
      <c r="H71" s="476">
        <v>0</v>
      </c>
    </row>
    <row r="72" spans="1:10" x14ac:dyDescent="0.3">
      <c r="A72" s="459"/>
      <c r="B72" s="454"/>
      <c r="C72" s="460"/>
      <c r="D72" s="461"/>
      <c r="E72" s="463"/>
      <c r="F72" s="454"/>
      <c r="G72" s="447"/>
      <c r="H72" s="463"/>
    </row>
    <row r="73" spans="1:10" s="478" customFormat="1" ht="30" customHeight="1" x14ac:dyDescent="0.25">
      <c r="A73" s="541">
        <f>SUM(A67:A71)</f>
        <v>829466.23</v>
      </c>
      <c r="B73" s="542"/>
      <c r="C73" s="542"/>
      <c r="D73" s="543">
        <f>H73</f>
        <v>433352.83999999892</v>
      </c>
      <c r="E73" s="541">
        <f>E67</f>
        <v>829466.23</v>
      </c>
      <c r="F73" s="542"/>
      <c r="G73" s="544"/>
      <c r="H73" s="541">
        <f>SUM(H67:H72)</f>
        <v>433352.83999999892</v>
      </c>
    </row>
    <row r="74" spans="1:10" x14ac:dyDescent="0.3">
      <c r="A74" s="545"/>
      <c r="B74" s="391"/>
      <c r="C74" s="391"/>
      <c r="D74" s="546"/>
      <c r="E74" s="391"/>
      <c r="F74" s="391"/>
      <c r="G74" s="391"/>
      <c r="H74" s="547"/>
    </row>
    <row r="75" spans="1:10" x14ac:dyDescent="0.3">
      <c r="A75" s="479" t="s">
        <v>759</v>
      </c>
      <c r="B75" s="480"/>
      <c r="C75" s="480"/>
      <c r="D75" s="480"/>
      <c r="H75" s="481"/>
    </row>
    <row r="76" spans="1:10" x14ac:dyDescent="0.3">
      <c r="A76" s="479" t="s">
        <v>720</v>
      </c>
      <c r="B76" s="480"/>
      <c r="C76" s="480"/>
      <c r="D76" s="480"/>
      <c r="E76" s="669" t="s">
        <v>768</v>
      </c>
      <c r="F76" s="669"/>
      <c r="G76" s="669"/>
      <c r="H76" s="670"/>
      <c r="I76" s="403"/>
    </row>
    <row r="77" spans="1:10" x14ac:dyDescent="0.3">
      <c r="A77" s="479" t="s">
        <v>32</v>
      </c>
      <c r="B77" s="480"/>
      <c r="C77" s="480"/>
      <c r="D77" s="480"/>
      <c r="E77" s="480"/>
      <c r="F77" s="480"/>
      <c r="G77" s="480"/>
      <c r="H77" s="482"/>
    </row>
    <row r="78" spans="1:10" x14ac:dyDescent="0.3">
      <c r="A78" s="483" t="s">
        <v>721</v>
      </c>
      <c r="B78" s="480"/>
      <c r="C78" s="480"/>
      <c r="D78" s="480"/>
      <c r="E78" s="480"/>
      <c r="F78" s="480"/>
      <c r="G78" s="480"/>
      <c r="H78" s="482"/>
    </row>
    <row r="79" spans="1:10" x14ac:dyDescent="0.3">
      <c r="A79" s="484"/>
      <c r="B79" s="480"/>
      <c r="C79" s="480"/>
      <c r="D79" s="480"/>
      <c r="E79" s="480"/>
      <c r="F79" s="480"/>
      <c r="G79" s="480"/>
      <c r="H79" s="482"/>
      <c r="I79" s="480"/>
      <c r="J79" s="480"/>
    </row>
    <row r="80" spans="1:10" x14ac:dyDescent="0.3">
      <c r="A80" s="484"/>
      <c r="B80" s="480"/>
      <c r="C80" s="480"/>
      <c r="D80" s="480"/>
      <c r="E80" s="480"/>
      <c r="F80" s="480"/>
      <c r="G80" s="480"/>
      <c r="H80" s="482"/>
      <c r="I80" s="480"/>
      <c r="J80" s="480"/>
    </row>
    <row r="81" spans="1:10" x14ac:dyDescent="0.3">
      <c r="A81" s="479" t="s">
        <v>722</v>
      </c>
      <c r="B81" s="480"/>
      <c r="C81" s="480"/>
      <c r="D81" s="480"/>
      <c r="E81" s="669" t="s">
        <v>758</v>
      </c>
      <c r="F81" s="669"/>
      <c r="G81" s="669"/>
      <c r="H81" s="670"/>
      <c r="I81" s="480"/>
      <c r="J81" s="480"/>
    </row>
    <row r="82" spans="1:10" x14ac:dyDescent="0.3">
      <c r="A82" s="485" t="s">
        <v>744</v>
      </c>
      <c r="B82" s="480"/>
      <c r="C82" s="480"/>
      <c r="D82" s="480"/>
      <c r="E82" s="486"/>
      <c r="F82" s="403"/>
      <c r="G82" s="403"/>
      <c r="H82" s="487"/>
      <c r="I82" s="480"/>
      <c r="J82" s="480"/>
    </row>
    <row r="83" spans="1:10" x14ac:dyDescent="0.3">
      <c r="A83" s="483" t="s">
        <v>761</v>
      </c>
      <c r="B83" s="480"/>
      <c r="C83" s="480"/>
      <c r="D83" s="480"/>
      <c r="E83" s="480"/>
      <c r="F83" s="480"/>
      <c r="G83" s="480"/>
      <c r="H83" s="482"/>
      <c r="I83" s="480"/>
      <c r="J83" s="480"/>
    </row>
    <row r="84" spans="1:10" ht="10.8" customHeight="1" x14ac:dyDescent="0.3">
      <c r="A84" s="483"/>
      <c r="B84" s="480"/>
      <c r="C84" s="480"/>
      <c r="D84" s="480"/>
      <c r="E84" s="480"/>
      <c r="F84" s="480"/>
      <c r="G84" s="480"/>
      <c r="H84" s="482"/>
      <c r="I84" s="480"/>
      <c r="J84" s="480"/>
    </row>
    <row r="85" spans="1:10" x14ac:dyDescent="0.3">
      <c r="A85" s="479" t="s">
        <v>33</v>
      </c>
      <c r="B85" s="480"/>
      <c r="C85" s="480"/>
      <c r="D85" s="480"/>
      <c r="E85" s="486" t="str">
        <f>A85</f>
        <v>PLACE:- MUMBAI</v>
      </c>
      <c r="H85" s="482"/>
      <c r="I85" s="486"/>
      <c r="J85" s="480"/>
    </row>
    <row r="86" spans="1:10" x14ac:dyDescent="0.3">
      <c r="A86" s="540" t="s">
        <v>760</v>
      </c>
      <c r="B86" s="488"/>
      <c r="C86" s="488"/>
      <c r="D86" s="488"/>
      <c r="E86" s="540" t="s">
        <v>760</v>
      </c>
      <c r="F86" s="668"/>
      <c r="G86" s="668"/>
      <c r="H86" s="489"/>
    </row>
    <row r="87" spans="1:10" x14ac:dyDescent="0.3">
      <c r="A87" s="548"/>
      <c r="B87" s="488"/>
      <c r="C87" s="488"/>
      <c r="D87" s="488"/>
      <c r="E87" s="488"/>
      <c r="F87" s="488"/>
      <c r="G87" s="488"/>
      <c r="H87" s="489"/>
      <c r="I87" s="480"/>
      <c r="J87" s="480"/>
    </row>
    <row r="88" spans="1:10" x14ac:dyDescent="0.3">
      <c r="B88" s="480"/>
      <c r="C88" s="480"/>
      <c r="D88" s="480"/>
      <c r="E88" s="480"/>
      <c r="F88" s="480"/>
      <c r="G88" s="480"/>
      <c r="H88" s="480"/>
      <c r="I88" s="480"/>
      <c r="J88" s="480"/>
    </row>
    <row r="89" spans="1:10" x14ac:dyDescent="0.3">
      <c r="A89" s="480"/>
      <c r="B89" s="480"/>
      <c r="C89" s="480"/>
      <c r="D89" s="480"/>
      <c r="E89" s="480"/>
      <c r="F89" s="480"/>
      <c r="G89" s="480"/>
      <c r="H89" s="480"/>
      <c r="I89" s="480"/>
      <c r="J89" s="480"/>
    </row>
    <row r="90" spans="1:10" x14ac:dyDescent="0.3">
      <c r="A90" s="480"/>
      <c r="B90" s="480"/>
      <c r="C90" s="480"/>
      <c r="D90" s="480"/>
      <c r="E90" s="480"/>
      <c r="F90" s="480"/>
      <c r="G90" s="480"/>
      <c r="H90" s="480"/>
      <c r="I90" s="480"/>
      <c r="J90" s="480"/>
    </row>
    <row r="91" spans="1:10" x14ac:dyDescent="0.3">
      <c r="A91" s="480"/>
      <c r="B91" s="480"/>
      <c r="C91" s="480"/>
      <c r="D91" s="490"/>
      <c r="E91" s="480"/>
      <c r="F91" s="480"/>
      <c r="G91" s="480"/>
      <c r="H91" s="480"/>
      <c r="I91" s="480"/>
      <c r="J91" s="480"/>
    </row>
    <row r="92" spans="1:10" x14ac:dyDescent="0.3">
      <c r="D92" s="491"/>
      <c r="I92" s="480"/>
      <c r="J92" s="480"/>
    </row>
    <row r="93" spans="1:10" x14ac:dyDescent="0.3">
      <c r="I93" s="480"/>
      <c r="J93" s="480"/>
    </row>
    <row r="94" spans="1:10" x14ac:dyDescent="0.3">
      <c r="I94" s="480"/>
      <c r="J94" s="480"/>
    </row>
    <row r="95" spans="1:10" x14ac:dyDescent="0.3">
      <c r="I95" s="480"/>
      <c r="J95" s="480"/>
    </row>
  </sheetData>
  <mergeCells count="2">
    <mergeCell ref="E76:H76"/>
    <mergeCell ref="E81:H81"/>
  </mergeCells>
  <phoneticPr fontId="0" type="noConversion"/>
  <printOptions horizontalCentered="1"/>
  <pageMargins left="0.19685039370078741" right="0.15748031496062992" top="0.51181102362204722" bottom="0.19685039370078741" header="0.51181102362204722" footer="0.15748031496062992"/>
  <pageSetup scale="80" orientation="landscape" r:id="rId1"/>
  <headerFooter alignWithMargins="0"/>
  <rowBreaks count="1" manualBreakCount="1">
    <brk id="43" max="16383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163"/>
  <sheetViews>
    <sheetView topLeftCell="A119" zoomScale="110" zoomScaleNormal="110" zoomScaleSheetLayoutView="100" workbookViewId="0">
      <selection activeCell="C145" sqref="C145"/>
    </sheetView>
  </sheetViews>
  <sheetFormatPr defaultColWidth="9.109375" defaultRowHeight="15" customHeight="1" x14ac:dyDescent="0.3"/>
  <cols>
    <col min="1" max="1" width="15.77734375" style="557" customWidth="1"/>
    <col min="2" max="2" width="45.6640625" style="557" customWidth="1"/>
    <col min="3" max="3" width="16.21875" style="557" customWidth="1"/>
    <col min="4" max="4" width="17.33203125" style="564" customWidth="1"/>
    <col min="5" max="5" width="15.88671875" style="557" customWidth="1"/>
    <col min="6" max="6" width="43.88671875" style="557" customWidth="1"/>
    <col min="7" max="7" width="16" style="557" customWidth="1"/>
    <col min="8" max="8" width="15.6640625" style="564" customWidth="1"/>
    <col min="9" max="9" width="18.5546875" style="557" customWidth="1"/>
    <col min="10" max="10" width="13.88671875" style="557" bestFit="1" customWidth="1"/>
    <col min="11" max="16384" width="9.109375" style="557"/>
  </cols>
  <sheetData>
    <row r="1" spans="1:9" ht="15" customHeight="1" x14ac:dyDescent="0.3">
      <c r="A1" s="671" t="s">
        <v>767</v>
      </c>
      <c r="B1" s="672"/>
      <c r="C1" s="672"/>
      <c r="D1" s="672"/>
      <c r="E1" s="672"/>
      <c r="F1" s="672"/>
      <c r="G1" s="672"/>
      <c r="H1" s="673"/>
      <c r="I1" s="556"/>
    </row>
    <row r="2" spans="1:9" ht="8.4" customHeight="1" x14ac:dyDescent="0.3">
      <c r="A2" s="558"/>
      <c r="B2" s="559"/>
      <c r="C2" s="559"/>
      <c r="D2" s="560"/>
      <c r="E2" s="561"/>
      <c r="F2" s="559"/>
      <c r="H2" s="562"/>
      <c r="I2" s="556"/>
    </row>
    <row r="3" spans="1:9" ht="15" customHeight="1" thickBot="1" x14ac:dyDescent="0.35">
      <c r="A3" s="674" t="s">
        <v>724</v>
      </c>
      <c r="B3" s="675"/>
      <c r="C3" s="675"/>
      <c r="D3" s="675"/>
      <c r="E3" s="675"/>
      <c r="F3" s="675"/>
      <c r="G3" s="675"/>
      <c r="H3" s="676"/>
      <c r="I3" s="556"/>
    </row>
    <row r="4" spans="1:9" ht="7.2" customHeight="1" thickBot="1" x14ac:dyDescent="0.35">
      <c r="A4" s="563"/>
      <c r="H4" s="562"/>
      <c r="I4" s="556"/>
    </row>
    <row r="5" spans="1:9" s="567" customFormat="1" ht="15" customHeight="1" x14ac:dyDescent="0.25">
      <c r="A5" s="550" t="s">
        <v>0</v>
      </c>
      <c r="B5" s="565" t="s">
        <v>1</v>
      </c>
      <c r="C5" s="551"/>
      <c r="D5" s="552" t="s">
        <v>0</v>
      </c>
      <c r="E5" s="552" t="s">
        <v>0</v>
      </c>
      <c r="F5" s="551" t="s">
        <v>2</v>
      </c>
      <c r="G5" s="551"/>
      <c r="H5" s="553" t="s">
        <v>0</v>
      </c>
      <c r="I5" s="566"/>
    </row>
    <row r="6" spans="1:9" s="567" customFormat="1" ht="15" customHeight="1" x14ac:dyDescent="0.25">
      <c r="A6" s="554">
        <v>44621</v>
      </c>
      <c r="B6" s="568"/>
      <c r="C6" s="493"/>
      <c r="D6" s="494">
        <v>44986</v>
      </c>
      <c r="E6" s="494">
        <v>44621</v>
      </c>
      <c r="F6" s="493"/>
      <c r="G6" s="493"/>
      <c r="H6" s="555">
        <v>44986</v>
      </c>
      <c r="I6" s="566"/>
    </row>
    <row r="7" spans="1:9" s="567" customFormat="1" ht="15" customHeight="1" thickBot="1" x14ac:dyDescent="0.3">
      <c r="A7" s="569"/>
      <c r="B7" s="570"/>
      <c r="C7" s="570"/>
      <c r="D7" s="571"/>
      <c r="E7" s="571"/>
      <c r="F7" s="570"/>
      <c r="G7" s="570"/>
      <c r="H7" s="572"/>
      <c r="I7" s="566"/>
    </row>
    <row r="8" spans="1:9" ht="15" customHeight="1" thickBot="1" x14ac:dyDescent="0.35">
      <c r="A8" s="496"/>
      <c r="B8" s="573" t="s">
        <v>3</v>
      </c>
      <c r="C8" s="497"/>
      <c r="D8" s="498"/>
      <c r="E8" s="558"/>
      <c r="F8" s="574"/>
      <c r="G8" s="574"/>
      <c r="H8" s="499"/>
      <c r="I8" s="556"/>
    </row>
    <row r="9" spans="1:9" ht="15" customHeight="1" thickBot="1" x14ac:dyDescent="0.35">
      <c r="A9" s="500">
        <v>400000</v>
      </c>
      <c r="B9" s="573" t="s">
        <v>5</v>
      </c>
      <c r="C9" s="501"/>
      <c r="D9" s="502">
        <v>400000</v>
      </c>
      <c r="E9" s="503"/>
      <c r="F9" s="573" t="s">
        <v>4</v>
      </c>
      <c r="G9" s="574"/>
      <c r="H9" s="504"/>
      <c r="I9" s="556"/>
    </row>
    <row r="10" spans="1:9" ht="15" customHeight="1" thickTop="1" x14ac:dyDescent="0.3">
      <c r="A10" s="503"/>
      <c r="B10" s="573"/>
      <c r="C10" s="501"/>
      <c r="D10" s="505"/>
      <c r="E10" s="503">
        <v>3011</v>
      </c>
      <c r="F10" s="574" t="s">
        <v>88</v>
      </c>
      <c r="G10" s="506">
        <v>2849</v>
      </c>
      <c r="H10" s="504"/>
      <c r="I10" s="556"/>
    </row>
    <row r="11" spans="1:9" ht="15" customHeight="1" x14ac:dyDescent="0.3">
      <c r="A11" s="496"/>
      <c r="B11" s="573" t="s">
        <v>6</v>
      </c>
      <c r="C11" s="506"/>
      <c r="D11" s="498"/>
      <c r="E11" s="496">
        <v>52831</v>
      </c>
      <c r="F11" s="558" t="s">
        <v>340</v>
      </c>
      <c r="G11" s="501">
        <v>17812</v>
      </c>
      <c r="H11" s="504"/>
      <c r="I11" s="556"/>
    </row>
    <row r="12" spans="1:9" ht="31.2" customHeight="1" thickBot="1" x14ac:dyDescent="0.35">
      <c r="A12" s="503">
        <v>256800</v>
      </c>
      <c r="B12" s="575" t="s">
        <v>7</v>
      </c>
      <c r="C12" s="506">
        <v>256800</v>
      </c>
      <c r="D12" s="498"/>
      <c r="E12" s="503">
        <v>371218.8</v>
      </c>
      <c r="F12" s="577" t="s">
        <v>743</v>
      </c>
      <c r="G12" s="506">
        <v>297595.34000000003</v>
      </c>
      <c r="H12" s="506">
        <f>SUM(G8:G12)</f>
        <v>318256.34000000003</v>
      </c>
      <c r="I12" s="556"/>
    </row>
    <row r="13" spans="1:9" ht="15" customHeight="1" thickBot="1" x14ac:dyDescent="0.35">
      <c r="A13" s="503">
        <v>0</v>
      </c>
      <c r="B13" s="575" t="s">
        <v>9</v>
      </c>
      <c r="C13" s="507">
        <v>0</v>
      </c>
      <c r="D13" s="498">
        <f>SUM(C12:C13)</f>
        <v>256800</v>
      </c>
      <c r="E13" s="503"/>
      <c r="F13" s="575"/>
      <c r="G13" s="497"/>
      <c r="H13" s="504"/>
      <c r="I13" s="556"/>
    </row>
    <row r="14" spans="1:9" ht="15" customHeight="1" x14ac:dyDescent="0.3">
      <c r="A14" s="558"/>
      <c r="B14" s="574"/>
      <c r="C14" s="574"/>
      <c r="D14" s="576"/>
      <c r="E14" s="503"/>
      <c r="F14" s="573" t="s">
        <v>8</v>
      </c>
      <c r="G14" s="508"/>
      <c r="H14" s="504"/>
      <c r="I14" s="556"/>
    </row>
    <row r="15" spans="1:9" ht="15" customHeight="1" x14ac:dyDescent="0.3">
      <c r="A15" s="503"/>
      <c r="B15" s="573" t="s">
        <v>10</v>
      </c>
      <c r="C15" s="508"/>
      <c r="D15" s="505"/>
      <c r="E15" s="503">
        <v>500</v>
      </c>
      <c r="F15" s="575" t="s">
        <v>85</v>
      </c>
      <c r="G15" s="506">
        <v>500</v>
      </c>
      <c r="H15" s="504"/>
      <c r="I15" s="556"/>
    </row>
    <row r="16" spans="1:9" ht="15" customHeight="1" x14ac:dyDescent="0.3">
      <c r="A16" s="496">
        <v>10461163.310000001</v>
      </c>
      <c r="B16" s="575" t="s">
        <v>11</v>
      </c>
      <c r="C16" s="501">
        <v>10769467.369999999</v>
      </c>
      <c r="D16" s="505"/>
      <c r="E16" s="503">
        <v>2000</v>
      </c>
      <c r="F16" s="575" t="s">
        <v>86</v>
      </c>
      <c r="G16" s="506">
        <v>2000</v>
      </c>
      <c r="H16" s="504"/>
      <c r="I16" s="556"/>
    </row>
    <row r="17" spans="1:10" ht="15" customHeight="1" x14ac:dyDescent="0.3">
      <c r="A17" s="496">
        <v>100900</v>
      </c>
      <c r="B17" s="577" t="s">
        <v>83</v>
      </c>
      <c r="C17" s="501">
        <v>76150</v>
      </c>
      <c r="D17" s="505"/>
      <c r="E17" s="503">
        <v>20</v>
      </c>
      <c r="F17" s="575" t="s">
        <v>87</v>
      </c>
      <c r="G17" s="506">
        <v>20</v>
      </c>
      <c r="H17" s="504"/>
      <c r="I17" s="556"/>
    </row>
    <row r="18" spans="1:10" ht="15" customHeight="1" thickBot="1" x14ac:dyDescent="0.35">
      <c r="A18" s="503">
        <v>0</v>
      </c>
      <c r="B18" s="575" t="s">
        <v>565</v>
      </c>
      <c r="C18" s="506">
        <v>0</v>
      </c>
      <c r="D18" s="505"/>
      <c r="E18" s="503">
        <v>2050036.23</v>
      </c>
      <c r="F18" s="575" t="s">
        <v>556</v>
      </c>
      <c r="G18" s="507">
        <v>3063021.94</v>
      </c>
      <c r="H18" s="506">
        <f>SUM(G15:G18)</f>
        <v>3065541.94</v>
      </c>
      <c r="I18" s="556"/>
    </row>
    <row r="19" spans="1:10" ht="15" customHeight="1" thickBot="1" x14ac:dyDescent="0.35">
      <c r="A19" s="496">
        <v>207404.06</v>
      </c>
      <c r="B19" s="575" t="s">
        <v>279</v>
      </c>
      <c r="C19" s="507">
        <f>'I&amp;E'!D68</f>
        <v>108338</v>
      </c>
      <c r="D19" s="505">
        <f>SUM(C16:C19)</f>
        <v>10953955.369999999</v>
      </c>
      <c r="E19" s="578"/>
      <c r="F19" s="574"/>
      <c r="G19" s="574"/>
      <c r="H19" s="504"/>
      <c r="I19" s="556"/>
    </row>
    <row r="20" spans="1:10" ht="15" customHeight="1" x14ac:dyDescent="0.3">
      <c r="A20" s="558"/>
      <c r="B20" s="575"/>
      <c r="C20" s="574"/>
      <c r="D20" s="576"/>
      <c r="E20" s="558"/>
      <c r="F20" s="574" t="s">
        <v>171</v>
      </c>
      <c r="G20" s="574"/>
      <c r="H20" s="504"/>
      <c r="I20" s="556"/>
    </row>
    <row r="21" spans="1:10" ht="15" customHeight="1" x14ac:dyDescent="0.3">
      <c r="A21" s="503"/>
      <c r="B21" s="573" t="s">
        <v>12</v>
      </c>
      <c r="C21" s="501"/>
      <c r="D21" s="576"/>
      <c r="E21" s="503">
        <v>17724073</v>
      </c>
      <c r="F21" s="575" t="s">
        <v>11</v>
      </c>
      <c r="G21" s="506">
        <v>16899100</v>
      </c>
      <c r="H21" s="504"/>
      <c r="J21" s="579">
        <f>+G32+G36+G40+G44+G45+G57+G58+G62+G63+G67+G68+G73+G72+G77+G81+G85</f>
        <v>853383.70742095902</v>
      </c>
    </row>
    <row r="22" spans="1:10" ht="15" customHeight="1" x14ac:dyDescent="0.3">
      <c r="A22" s="503">
        <v>6638087.4000000004</v>
      </c>
      <c r="B22" s="575" t="s">
        <v>11</v>
      </c>
      <c r="C22" s="506">
        <v>3872690.7</v>
      </c>
      <c r="D22" s="498"/>
      <c r="E22" s="503">
        <v>7811409</v>
      </c>
      <c r="F22" s="574" t="s">
        <v>160</v>
      </c>
      <c r="G22" s="506">
        <v>676797</v>
      </c>
      <c r="H22" s="504"/>
    </row>
    <row r="23" spans="1:10" ht="15" customHeight="1" thickBot="1" x14ac:dyDescent="0.35">
      <c r="A23" s="503">
        <v>217500</v>
      </c>
      <c r="B23" s="575" t="s">
        <v>755</v>
      </c>
      <c r="C23" s="509">
        <f>'I&amp;E'!D69</f>
        <v>217500</v>
      </c>
      <c r="D23" s="580"/>
      <c r="E23" s="503">
        <v>-8636382</v>
      </c>
      <c r="F23" s="574" t="s">
        <v>161</v>
      </c>
      <c r="G23" s="581">
        <v>-1999968</v>
      </c>
      <c r="H23" s="582">
        <f>SUM(G21:G23)</f>
        <v>15575929</v>
      </c>
      <c r="I23" s="556"/>
    </row>
    <row r="24" spans="1:10" ht="15" customHeight="1" thickBot="1" x14ac:dyDescent="0.35">
      <c r="A24" s="503">
        <v>-2982896.7</v>
      </c>
      <c r="B24" s="575" t="s">
        <v>552</v>
      </c>
      <c r="C24" s="510">
        <v>0</v>
      </c>
      <c r="D24" s="580">
        <f>SUM(C22:C24)</f>
        <v>4090190.7</v>
      </c>
      <c r="E24" s="503"/>
      <c r="F24" s="574"/>
      <c r="G24" s="506"/>
      <c r="H24" s="506"/>
      <c r="I24" s="556"/>
    </row>
    <row r="25" spans="1:10" ht="15" customHeight="1" x14ac:dyDescent="0.3">
      <c r="A25" s="503"/>
      <c r="B25" s="575"/>
      <c r="C25" s="511"/>
      <c r="D25" s="580"/>
      <c r="E25" s="496">
        <v>254435</v>
      </c>
      <c r="F25" s="574" t="s">
        <v>550</v>
      </c>
      <c r="G25" s="574"/>
      <c r="H25" s="506">
        <v>501235</v>
      </c>
      <c r="I25" s="556"/>
    </row>
    <row r="26" spans="1:10" ht="15" customHeight="1" x14ac:dyDescent="0.3">
      <c r="A26" s="503"/>
      <c r="B26" s="573" t="s">
        <v>77</v>
      </c>
      <c r="C26" s="506"/>
      <c r="D26" s="576"/>
      <c r="E26" s="503"/>
      <c r="F26" s="574"/>
      <c r="G26" s="574"/>
      <c r="H26" s="504"/>
      <c r="I26" s="556"/>
    </row>
    <row r="27" spans="1:10" ht="15" customHeight="1" x14ac:dyDescent="0.3">
      <c r="A27" s="496">
        <v>135000</v>
      </c>
      <c r="B27" s="575" t="s">
        <v>11</v>
      </c>
      <c r="C27" s="582">
        <v>0</v>
      </c>
      <c r="D27" s="498"/>
      <c r="E27" s="558"/>
      <c r="F27" s="573" t="s">
        <v>13</v>
      </c>
      <c r="G27" s="574"/>
      <c r="H27" s="584"/>
      <c r="I27" s="556"/>
    </row>
    <row r="28" spans="1:10" ht="15" customHeight="1" thickBot="1" x14ac:dyDescent="0.35">
      <c r="A28" s="496">
        <v>-135000</v>
      </c>
      <c r="B28" s="575" t="s">
        <v>552</v>
      </c>
      <c r="C28" s="507">
        <v>0</v>
      </c>
      <c r="D28" s="498">
        <f>SUM(C27:C28)</f>
        <v>0</v>
      </c>
      <c r="E28" s="496"/>
      <c r="F28" s="573" t="s">
        <v>34</v>
      </c>
      <c r="G28" s="501"/>
      <c r="H28" s="585"/>
      <c r="I28" s="556"/>
    </row>
    <row r="29" spans="1:10" ht="15" customHeight="1" thickBot="1" x14ac:dyDescent="0.35">
      <c r="A29" s="503"/>
      <c r="B29" s="575"/>
      <c r="C29" s="511"/>
      <c r="D29" s="580"/>
      <c r="E29" s="496">
        <v>8502071.5999999996</v>
      </c>
      <c r="F29" s="575" t="s">
        <v>710</v>
      </c>
      <c r="G29" s="507">
        <f>+E29+7120969.25</f>
        <v>15623040.85</v>
      </c>
      <c r="H29" s="582">
        <f>+G28+G29</f>
        <v>15623040.85</v>
      </c>
      <c r="I29" s="556"/>
    </row>
    <row r="30" spans="1:10" ht="15" customHeight="1" x14ac:dyDescent="0.3">
      <c r="A30" s="496"/>
      <c r="B30" s="573" t="s">
        <v>78</v>
      </c>
      <c r="C30" s="506"/>
      <c r="D30" s="498"/>
      <c r="E30" s="558"/>
      <c r="F30" s="575"/>
      <c r="G30" s="506"/>
      <c r="H30" s="584"/>
      <c r="I30" s="556">
        <f>+G32+G36+G40+G44+G45+G57+G58+G62+G63+G67+G68+G72+G73+G77+G81+G85</f>
        <v>853383.70742095902</v>
      </c>
    </row>
    <row r="31" spans="1:10" ht="15" customHeight="1" x14ac:dyDescent="0.3">
      <c r="A31" s="496">
        <v>977952.41</v>
      </c>
      <c r="B31" s="575" t="s">
        <v>11</v>
      </c>
      <c r="C31" s="506">
        <v>876432.41</v>
      </c>
      <c r="D31" s="498"/>
      <c r="E31" s="496"/>
      <c r="F31" s="573" t="s">
        <v>14</v>
      </c>
      <c r="G31" s="506"/>
      <c r="H31" s="504"/>
      <c r="I31" s="556">
        <f>+G33+G37+G41+G46+G59+G64+G69+G74+G78+G82+G86</f>
        <v>-86788.629143835613</v>
      </c>
    </row>
    <row r="32" spans="1:10" ht="15" customHeight="1" x14ac:dyDescent="0.3">
      <c r="A32" s="503">
        <v>258648</v>
      </c>
      <c r="B32" s="575" t="s">
        <v>80</v>
      </c>
      <c r="C32" s="506">
        <v>258936</v>
      </c>
      <c r="D32" s="498"/>
      <c r="E32" s="496">
        <v>5154.3899999999994</v>
      </c>
      <c r="F32" s="575" t="s">
        <v>15</v>
      </c>
      <c r="G32" s="506">
        <f>Depreciation!E10</f>
        <v>4638.95</v>
      </c>
      <c r="H32" s="504"/>
      <c r="I32" s="556"/>
    </row>
    <row r="33" spans="1:9" ht="15" customHeight="1" thickBot="1" x14ac:dyDescent="0.35">
      <c r="A33" s="503"/>
      <c r="B33" s="575"/>
      <c r="C33" s="506"/>
      <c r="D33" s="505"/>
      <c r="E33" s="496">
        <v>-515.44000000000005</v>
      </c>
      <c r="F33" s="575" t="s">
        <v>82</v>
      </c>
      <c r="G33" s="512">
        <f>Depreciation!E12</f>
        <v>-463.9</v>
      </c>
      <c r="H33" s="504">
        <f>+G32+G33</f>
        <v>4175.05</v>
      </c>
      <c r="I33" s="556"/>
    </row>
    <row r="34" spans="1:9" ht="15" customHeight="1" thickBot="1" x14ac:dyDescent="0.35">
      <c r="A34" s="503">
        <v>-360168</v>
      </c>
      <c r="B34" s="575" t="s">
        <v>552</v>
      </c>
      <c r="C34" s="507">
        <v>0</v>
      </c>
      <c r="D34" s="505">
        <f>SUM(C31:C34)</f>
        <v>1135368.4100000001</v>
      </c>
      <c r="E34" s="503"/>
      <c r="F34" s="575"/>
      <c r="G34" s="506"/>
      <c r="H34" s="504"/>
      <c r="I34" s="556"/>
    </row>
    <row r="35" spans="1:9" ht="15" customHeight="1" x14ac:dyDescent="0.3">
      <c r="A35" s="503"/>
      <c r="B35" s="573"/>
      <c r="C35" s="506"/>
      <c r="D35" s="505"/>
      <c r="E35" s="558"/>
      <c r="F35" s="573" t="s">
        <v>18</v>
      </c>
      <c r="G35" s="574"/>
      <c r="H35" s="585"/>
      <c r="I35" s="556"/>
    </row>
    <row r="36" spans="1:9" ht="15" customHeight="1" x14ac:dyDescent="0.3">
      <c r="A36" s="503"/>
      <c r="B36" s="573" t="s">
        <v>17</v>
      </c>
      <c r="C36" s="506"/>
      <c r="D36" s="498"/>
      <c r="E36" s="503">
        <v>11158.780000000002</v>
      </c>
      <c r="F36" s="575" t="s">
        <v>11</v>
      </c>
      <c r="G36" s="506">
        <f>Depreciation!E21</f>
        <v>8369.08</v>
      </c>
      <c r="H36" s="504"/>
      <c r="I36" s="556"/>
    </row>
    <row r="37" spans="1:9" ht="15" customHeight="1" thickBot="1" x14ac:dyDescent="0.35">
      <c r="A37" s="496">
        <v>172785</v>
      </c>
      <c r="B37" s="575" t="s">
        <v>72</v>
      </c>
      <c r="C37" s="506">
        <v>0</v>
      </c>
      <c r="D37" s="576"/>
      <c r="E37" s="496">
        <v>-2789.7</v>
      </c>
      <c r="F37" s="575" t="s">
        <v>19</v>
      </c>
      <c r="G37" s="507">
        <f>Depreciation!E26</f>
        <v>-2092.27</v>
      </c>
      <c r="H37" s="504">
        <f>+G36+G37</f>
        <v>6276.8099999999995</v>
      </c>
      <c r="I37" s="556"/>
    </row>
    <row r="38" spans="1:9" ht="15" customHeight="1" thickBot="1" x14ac:dyDescent="0.35">
      <c r="A38" s="496">
        <v>-172785</v>
      </c>
      <c r="B38" s="575" t="s">
        <v>552</v>
      </c>
      <c r="C38" s="507">
        <v>0</v>
      </c>
      <c r="D38" s="586">
        <f>C37+C38</f>
        <v>0</v>
      </c>
      <c r="E38" s="503"/>
      <c r="F38" s="575"/>
      <c r="G38" s="506"/>
      <c r="H38" s="504"/>
      <c r="I38" s="556"/>
    </row>
    <row r="39" spans="1:9" ht="15" customHeight="1" x14ac:dyDescent="0.3">
      <c r="A39" s="503"/>
      <c r="B39" s="573"/>
      <c r="C39" s="506"/>
      <c r="D39" s="505"/>
      <c r="E39" s="503"/>
      <c r="F39" s="573" t="s">
        <v>323</v>
      </c>
      <c r="G39" s="506"/>
      <c r="H39" s="504"/>
      <c r="I39" s="556"/>
    </row>
    <row r="40" spans="1:9" ht="15" customHeight="1" x14ac:dyDescent="0.3">
      <c r="A40" s="558"/>
      <c r="B40" s="573" t="s">
        <v>66</v>
      </c>
      <c r="C40" s="506"/>
      <c r="D40" s="576"/>
      <c r="E40" s="503">
        <v>52299.395856164381</v>
      </c>
      <c r="F40" s="575" t="s">
        <v>11</v>
      </c>
      <c r="G40" s="506">
        <f>Depreciation!E38</f>
        <v>39224.550000000003</v>
      </c>
      <c r="H40" s="504"/>
      <c r="I40" s="556"/>
    </row>
    <row r="41" spans="1:9" ht="15" customHeight="1" thickBot="1" x14ac:dyDescent="0.35">
      <c r="A41" s="496"/>
      <c r="B41" s="573" t="s">
        <v>67</v>
      </c>
      <c r="C41" s="506"/>
      <c r="D41" s="580"/>
      <c r="E41" s="503">
        <v>-13074.848964041097</v>
      </c>
      <c r="F41" s="575" t="s">
        <v>16</v>
      </c>
      <c r="G41" s="507">
        <f>Depreciation!E40</f>
        <v>-9806.14</v>
      </c>
      <c r="H41" s="504">
        <f>+G40+G41</f>
        <v>29418.410000000003</v>
      </c>
      <c r="I41" s="556"/>
    </row>
    <row r="42" spans="1:9" ht="15" customHeight="1" x14ac:dyDescent="0.3">
      <c r="A42" s="496">
        <v>7377791.5499999998</v>
      </c>
      <c r="B42" s="575" t="s">
        <v>72</v>
      </c>
      <c r="C42" s="501">
        <v>7377791.5499999998</v>
      </c>
      <c r="D42" s="505"/>
      <c r="E42" s="503"/>
      <c r="F42" s="575"/>
      <c r="G42" s="506"/>
      <c r="H42" s="504"/>
      <c r="I42" s="556"/>
    </row>
    <row r="43" spans="1:9" ht="15" customHeight="1" x14ac:dyDescent="0.3">
      <c r="A43" s="496">
        <v>0</v>
      </c>
      <c r="B43" s="575" t="s">
        <v>80</v>
      </c>
      <c r="C43" s="528">
        <v>0</v>
      </c>
      <c r="D43" s="505">
        <f>+C42+C43</f>
        <v>7377791.5499999998</v>
      </c>
      <c r="E43" s="503"/>
      <c r="F43" s="573" t="s">
        <v>20</v>
      </c>
      <c r="G43" s="574"/>
      <c r="H43" s="585"/>
      <c r="I43" s="556">
        <f>+G45+G58+G63+G68+G73</f>
        <v>309349</v>
      </c>
    </row>
    <row r="44" spans="1:9" ht="15" customHeight="1" x14ac:dyDescent="0.3">
      <c r="A44" s="503"/>
      <c r="B44" s="573"/>
      <c r="C44" s="506"/>
      <c r="D44" s="505"/>
      <c r="E44" s="503">
        <v>9812.780999999999</v>
      </c>
      <c r="F44" s="575" t="s">
        <v>11</v>
      </c>
      <c r="G44" s="506">
        <f>+E44+E46</f>
        <v>8504.9417260273967</v>
      </c>
      <c r="H44" s="504"/>
      <c r="I44" s="556"/>
    </row>
    <row r="45" spans="1:9" ht="15" customHeight="1" x14ac:dyDescent="0.3">
      <c r="A45" s="503"/>
      <c r="B45" s="573"/>
      <c r="C45" s="506"/>
      <c r="D45" s="505"/>
      <c r="E45" s="503"/>
      <c r="F45" s="575" t="s">
        <v>754</v>
      </c>
      <c r="G45" s="506">
        <f>+Depreciation!E51+Depreciation!E52</f>
        <v>5200</v>
      </c>
      <c r="H45" s="504"/>
      <c r="I45" s="556"/>
    </row>
    <row r="46" spans="1:9" ht="15" customHeight="1" thickBot="1" x14ac:dyDescent="0.35">
      <c r="A46" s="503"/>
      <c r="B46" s="573"/>
      <c r="C46" s="506"/>
      <c r="D46" s="505"/>
      <c r="E46" s="503">
        <v>-1307.8392739726028</v>
      </c>
      <c r="F46" s="575" t="s">
        <v>37</v>
      </c>
      <c r="G46" s="507">
        <f>Depreciation!E55</f>
        <v>-1575.9875753424658</v>
      </c>
      <c r="H46" s="504">
        <f>+G44+G46+G45</f>
        <v>12128.954150684931</v>
      </c>
      <c r="I46" s="556"/>
    </row>
    <row r="47" spans="1:9" ht="15" customHeight="1" thickBot="1" x14ac:dyDescent="0.35">
      <c r="A47" s="496"/>
      <c r="B47" s="573"/>
      <c r="C47" s="506"/>
      <c r="D47" s="498"/>
      <c r="E47" s="496"/>
      <c r="F47" s="575"/>
      <c r="G47" s="507"/>
      <c r="H47" s="504"/>
      <c r="I47" s="556"/>
    </row>
    <row r="48" spans="1:9" s="590" customFormat="1" ht="15" customHeight="1" thickBot="1" x14ac:dyDescent="0.3">
      <c r="A48" s="513">
        <f>SUM(A11:A47)</f>
        <v>23153182.030000005</v>
      </c>
      <c r="B48" s="587"/>
      <c r="C48" s="514"/>
      <c r="D48" s="513">
        <f>SUM(D13:D47)</f>
        <v>23814106.030000001</v>
      </c>
      <c r="E48" s="513">
        <f>SUM(E10:E47)</f>
        <v>28195961.148618154</v>
      </c>
      <c r="F48" s="588"/>
      <c r="G48" s="515"/>
      <c r="H48" s="516">
        <f>SUM(H11:H47)</f>
        <v>35136002.354150683</v>
      </c>
      <c r="I48" s="589"/>
    </row>
    <row r="49" spans="1:9" ht="15" customHeight="1" thickBot="1" x14ac:dyDescent="0.35">
      <c r="A49" s="498"/>
      <c r="C49" s="517"/>
      <c r="D49" s="518"/>
      <c r="E49" s="518"/>
      <c r="F49" s="591"/>
      <c r="G49" s="519"/>
      <c r="H49" s="520" t="s">
        <v>204</v>
      </c>
      <c r="I49" s="556"/>
    </row>
    <row r="50" spans="1:9" s="567" customFormat="1" ht="15" customHeight="1" x14ac:dyDescent="0.25">
      <c r="A50" s="631"/>
      <c r="B50" s="606"/>
      <c r="C50" s="606"/>
      <c r="D50" s="606"/>
      <c r="E50" s="606"/>
      <c r="F50" s="565"/>
      <c r="G50" s="565"/>
      <c r="H50" s="632"/>
      <c r="I50" s="566"/>
    </row>
    <row r="51" spans="1:9" s="567" customFormat="1" ht="15" customHeight="1" x14ac:dyDescent="0.25">
      <c r="A51" s="633" t="s">
        <v>0</v>
      </c>
      <c r="B51" s="592" t="s">
        <v>1</v>
      </c>
      <c r="C51" s="492"/>
      <c r="D51" s="492" t="s">
        <v>0</v>
      </c>
      <c r="E51" s="492" t="s">
        <v>0</v>
      </c>
      <c r="F51" s="493" t="s">
        <v>2</v>
      </c>
      <c r="G51" s="493"/>
      <c r="H51" s="634" t="s">
        <v>0</v>
      </c>
      <c r="I51" s="566"/>
    </row>
    <row r="52" spans="1:9" s="567" customFormat="1" ht="15" customHeight="1" x14ac:dyDescent="0.25">
      <c r="A52" s="554">
        <v>44621</v>
      </c>
      <c r="B52" s="592"/>
      <c r="C52" s="492"/>
      <c r="D52" s="494">
        <v>44986</v>
      </c>
      <c r="E52" s="494">
        <v>44621</v>
      </c>
      <c r="F52" s="493"/>
      <c r="G52" s="493"/>
      <c r="H52" s="555">
        <v>44986</v>
      </c>
      <c r="I52" s="566"/>
    </row>
    <row r="53" spans="1:9" s="567" customFormat="1" ht="15" customHeight="1" thickBot="1" x14ac:dyDescent="0.3">
      <c r="A53" s="569"/>
      <c r="B53" s="593"/>
      <c r="C53" s="593"/>
      <c r="D53" s="571"/>
      <c r="E53" s="571"/>
      <c r="F53" s="570"/>
      <c r="G53" s="570"/>
      <c r="H53" s="572"/>
      <c r="I53" s="566"/>
    </row>
    <row r="54" spans="1:9" ht="15" customHeight="1" x14ac:dyDescent="0.3">
      <c r="A54" s="594">
        <f>A48</f>
        <v>23153182.030000005</v>
      </c>
      <c r="B54" s="576" t="s">
        <v>70</v>
      </c>
      <c r="C54" s="595"/>
      <c r="D54" s="498">
        <f>+D48</f>
        <v>23814106.030000001</v>
      </c>
      <c r="E54" s="498">
        <f>+E48</f>
        <v>28195961.148618154</v>
      </c>
      <c r="F54" s="596" t="s">
        <v>70</v>
      </c>
      <c r="G54" s="597"/>
      <c r="H54" s="598">
        <f>+H48</f>
        <v>35136002.354150683</v>
      </c>
      <c r="I54" s="556"/>
    </row>
    <row r="55" spans="1:9" ht="15" customHeight="1" x14ac:dyDescent="0.3">
      <c r="A55" s="496"/>
      <c r="B55" s="599"/>
      <c r="C55" s="505"/>
      <c r="D55" s="505"/>
      <c r="E55" s="503"/>
      <c r="F55" s="575"/>
      <c r="G55" s="506"/>
      <c r="H55" s="504"/>
      <c r="I55" s="556"/>
    </row>
    <row r="56" spans="1:9" ht="15" customHeight="1" x14ac:dyDescent="0.3">
      <c r="A56" s="503"/>
      <c r="B56" s="600" t="s">
        <v>559</v>
      </c>
      <c r="C56" s="496"/>
      <c r="D56" s="498"/>
      <c r="E56" s="503"/>
      <c r="F56" s="573" t="s">
        <v>22</v>
      </c>
      <c r="G56" s="501"/>
      <c r="H56" s="521"/>
      <c r="I56" s="556"/>
    </row>
    <row r="57" spans="1:9" ht="15" customHeight="1" x14ac:dyDescent="0.3">
      <c r="A57" s="496"/>
      <c r="B57" s="599" t="s">
        <v>74</v>
      </c>
      <c r="C57" s="522">
        <v>8805268.6999999993</v>
      </c>
      <c r="D57" s="498"/>
      <c r="E57" s="503">
        <v>4995.2599999999984</v>
      </c>
      <c r="F57" s="575" t="s">
        <v>11</v>
      </c>
      <c r="G57" s="506">
        <f>+E57+E59</f>
        <v>2997.1599999999985</v>
      </c>
      <c r="H57" s="585"/>
      <c r="I57" s="556"/>
    </row>
    <row r="58" spans="1:9" ht="15" customHeight="1" x14ac:dyDescent="0.3">
      <c r="A58" s="496"/>
      <c r="B58" s="599"/>
      <c r="C58" s="522"/>
      <c r="D58" s="498"/>
      <c r="E58" s="503"/>
      <c r="F58" s="575" t="s">
        <v>754</v>
      </c>
      <c r="G58" s="506">
        <f>+Depreciation!E69+Depreciation!E70</f>
        <v>66399</v>
      </c>
      <c r="H58" s="585"/>
      <c r="I58" s="556"/>
    </row>
    <row r="59" spans="1:9" ht="15" customHeight="1" thickBot="1" x14ac:dyDescent="0.35">
      <c r="A59" s="496">
        <v>135000</v>
      </c>
      <c r="B59" s="599" t="s">
        <v>560</v>
      </c>
      <c r="C59" s="522"/>
      <c r="D59" s="498"/>
      <c r="E59" s="496">
        <v>-1998.1</v>
      </c>
      <c r="F59" s="575" t="s">
        <v>23</v>
      </c>
      <c r="G59" s="507">
        <f>Depreciation!E73</f>
        <v>-5232.8552328767119</v>
      </c>
      <c r="H59" s="504">
        <f>+G57+G59+G58</f>
        <v>64163.304767123285</v>
      </c>
      <c r="I59" s="556"/>
    </row>
    <row r="60" spans="1:9" ht="15" customHeight="1" x14ac:dyDescent="0.3">
      <c r="A60" s="503">
        <v>172785</v>
      </c>
      <c r="B60" s="599" t="s">
        <v>562</v>
      </c>
      <c r="C60" s="583"/>
      <c r="D60" s="505"/>
      <c r="E60" s="558"/>
      <c r="F60" s="574"/>
      <c r="G60" s="574"/>
      <c r="H60" s="585"/>
      <c r="I60" s="556"/>
    </row>
    <row r="61" spans="1:9" ht="15" customHeight="1" x14ac:dyDescent="0.3">
      <c r="A61" s="503">
        <v>360168</v>
      </c>
      <c r="B61" s="599" t="s">
        <v>561</v>
      </c>
      <c r="C61" s="583"/>
      <c r="D61" s="505"/>
      <c r="E61" s="496"/>
      <c r="F61" s="573" t="s">
        <v>24</v>
      </c>
      <c r="G61" s="506"/>
      <c r="H61" s="585"/>
      <c r="I61" s="556"/>
    </row>
    <row r="62" spans="1:9" ht="15" customHeight="1" x14ac:dyDescent="0.3">
      <c r="A62" s="503">
        <v>2982896.7</v>
      </c>
      <c r="B62" s="599" t="s">
        <v>563</v>
      </c>
      <c r="C62" s="583"/>
      <c r="D62" s="505"/>
      <c r="E62" s="503">
        <v>189837.28702328767</v>
      </c>
      <c r="F62" s="575" t="s">
        <v>11</v>
      </c>
      <c r="G62" s="506">
        <f>+E62+E64</f>
        <v>171982.89250726029</v>
      </c>
      <c r="H62" s="504"/>
      <c r="I62" s="556"/>
    </row>
    <row r="63" spans="1:9" ht="15" customHeight="1" x14ac:dyDescent="0.3">
      <c r="A63" s="503"/>
      <c r="B63" s="599"/>
      <c r="C63" s="583"/>
      <c r="D63" s="505"/>
      <c r="E63" s="503"/>
      <c r="F63" s="575" t="s">
        <v>754</v>
      </c>
      <c r="G63" s="506">
        <f>+Depreciation!E87</f>
        <v>16000</v>
      </c>
      <c r="H63" s="504"/>
      <c r="I63" s="556"/>
    </row>
    <row r="64" spans="1:9" ht="31.8" customHeight="1" thickBot="1" x14ac:dyDescent="0.35">
      <c r="A64" s="503">
        <v>5154419</v>
      </c>
      <c r="B64" s="615" t="s">
        <v>757</v>
      </c>
      <c r="C64" s="523">
        <v>2923380</v>
      </c>
      <c r="D64" s="503">
        <f>SUM(C57:C64)</f>
        <v>11728648.699999999</v>
      </c>
      <c r="E64" s="496">
        <v>-17854.394516027398</v>
      </c>
      <c r="F64" s="575" t="s">
        <v>21</v>
      </c>
      <c r="G64" s="507">
        <f>Depreciation!E90+0.01</f>
        <v>-17316.635164383562</v>
      </c>
      <c r="H64" s="504">
        <f>+G62+G64-0.01+G63</f>
        <v>170666.24734287671</v>
      </c>
      <c r="I64" s="556"/>
    </row>
    <row r="65" spans="1:9" ht="15" customHeight="1" x14ac:dyDescent="0.3">
      <c r="A65" s="558"/>
      <c r="B65" s="558"/>
      <c r="C65" s="558"/>
      <c r="D65" s="576"/>
      <c r="E65" s="503"/>
      <c r="F65" s="575"/>
      <c r="G65" s="506"/>
      <c r="H65" s="504"/>
      <c r="I65" s="556"/>
    </row>
    <row r="66" spans="1:9" ht="15" customHeight="1" x14ac:dyDescent="0.3">
      <c r="A66" s="503"/>
      <c r="B66" s="600" t="s">
        <v>445</v>
      </c>
      <c r="C66" s="503"/>
      <c r="D66" s="498"/>
      <c r="E66" s="496"/>
      <c r="F66" s="573" t="s">
        <v>112</v>
      </c>
      <c r="G66" s="574"/>
      <c r="H66" s="504"/>
      <c r="I66" s="556"/>
    </row>
    <row r="67" spans="1:9" ht="15" customHeight="1" x14ac:dyDescent="0.3">
      <c r="A67" s="503">
        <v>20001</v>
      </c>
      <c r="B67" s="599" t="s">
        <v>35</v>
      </c>
      <c r="C67" s="503"/>
      <c r="D67" s="503">
        <f>+A67</f>
        <v>20001</v>
      </c>
      <c r="E67" s="496">
        <v>139244.64798630137</v>
      </c>
      <c r="F67" s="575" t="s">
        <v>11</v>
      </c>
      <c r="G67" s="501">
        <f>+E67+E69</f>
        <v>125320.19318767123</v>
      </c>
      <c r="H67" s="504"/>
      <c r="I67" s="556">
        <v>346070.19</v>
      </c>
    </row>
    <row r="68" spans="1:9" ht="15" customHeight="1" x14ac:dyDescent="0.3">
      <c r="A68" s="503"/>
      <c r="B68" s="599"/>
      <c r="C68" s="503"/>
      <c r="D68" s="505"/>
      <c r="E68" s="496"/>
      <c r="F68" s="575" t="s">
        <v>754</v>
      </c>
      <c r="G68" s="501">
        <f>+Depreciation!E103</f>
        <v>220750</v>
      </c>
      <c r="H68" s="504"/>
      <c r="I68" s="556"/>
    </row>
    <row r="69" spans="1:9" ht="15" customHeight="1" thickBot="1" x14ac:dyDescent="0.35">
      <c r="A69" s="558"/>
      <c r="B69" s="558"/>
      <c r="C69" s="558"/>
      <c r="D69" s="576"/>
      <c r="E69" s="496">
        <v>-13924.454798630135</v>
      </c>
      <c r="F69" s="575" t="s">
        <v>37</v>
      </c>
      <c r="G69" s="507">
        <f>Depreciation!E106+0.01</f>
        <v>-22789.662335616438</v>
      </c>
      <c r="H69" s="504">
        <f>SUM(G67:G69)-0.01</f>
        <v>323280.52085205482</v>
      </c>
      <c r="I69" s="556"/>
    </row>
    <row r="70" spans="1:9" ht="15" customHeight="1" x14ac:dyDescent="0.3">
      <c r="A70" s="503"/>
      <c r="B70" s="600" t="s">
        <v>71</v>
      </c>
      <c r="C70" s="558"/>
      <c r="D70" s="505"/>
      <c r="E70" s="503"/>
      <c r="F70" s="575"/>
      <c r="G70" s="506"/>
      <c r="H70" s="504"/>
      <c r="I70" s="556"/>
    </row>
    <row r="71" spans="1:9" ht="15" customHeight="1" x14ac:dyDescent="0.3">
      <c r="A71" s="503">
        <v>85041</v>
      </c>
      <c r="B71" s="599" t="s">
        <v>35</v>
      </c>
      <c r="C71" s="558"/>
      <c r="D71" s="505">
        <v>85041</v>
      </c>
      <c r="E71" s="496"/>
      <c r="F71" s="573" t="s">
        <v>390</v>
      </c>
      <c r="G71" s="506"/>
      <c r="H71" s="585"/>
      <c r="I71" s="556"/>
    </row>
    <row r="72" spans="1:9" ht="15" customHeight="1" x14ac:dyDescent="0.3">
      <c r="A72" s="496"/>
      <c r="B72" s="599"/>
      <c r="C72" s="505"/>
      <c r="D72" s="505"/>
      <c r="E72" s="503">
        <v>9672.119999999999</v>
      </c>
      <c r="F72" s="575" t="s">
        <v>11</v>
      </c>
      <c r="G72" s="506">
        <f>+E72+E74</f>
        <v>8221.2999999999993</v>
      </c>
      <c r="H72" s="504"/>
      <c r="I72" s="556"/>
    </row>
    <row r="73" spans="1:9" ht="15" customHeight="1" x14ac:dyDescent="0.3">
      <c r="A73" s="496"/>
      <c r="B73" s="599"/>
      <c r="C73" s="505"/>
      <c r="D73" s="505"/>
      <c r="E73" s="503"/>
      <c r="F73" s="575" t="s">
        <v>754</v>
      </c>
      <c r="G73" s="506">
        <f>+Depreciation!E118</f>
        <v>1000</v>
      </c>
      <c r="H73" s="504"/>
      <c r="I73" s="556"/>
    </row>
    <row r="74" spans="1:9" ht="15" customHeight="1" thickBot="1" x14ac:dyDescent="0.35">
      <c r="A74" s="496"/>
      <c r="B74" s="600" t="s">
        <v>68</v>
      </c>
      <c r="C74" s="496"/>
      <c r="D74" s="498"/>
      <c r="E74" s="496">
        <v>-1450.82</v>
      </c>
      <c r="F74" s="575" t="s">
        <v>37</v>
      </c>
      <c r="G74" s="507">
        <f>Depreciation!E121</f>
        <v>-1294.8388356164382</v>
      </c>
      <c r="H74" s="504">
        <f>+G72+G74+G73</f>
        <v>7926.4611643835615</v>
      </c>
      <c r="I74" s="556"/>
    </row>
    <row r="75" spans="1:9" ht="15" customHeight="1" x14ac:dyDescent="0.3">
      <c r="A75" s="496"/>
      <c r="B75" s="600" t="s">
        <v>69</v>
      </c>
      <c r="C75" s="503"/>
      <c r="D75" s="505"/>
      <c r="E75" s="503"/>
      <c r="F75" s="575"/>
      <c r="G75" s="506"/>
      <c r="H75" s="504"/>
      <c r="I75" s="556"/>
    </row>
    <row r="76" spans="1:9" ht="15" customHeight="1" x14ac:dyDescent="0.3">
      <c r="A76" s="496">
        <v>2000</v>
      </c>
      <c r="B76" s="599" t="s">
        <v>35</v>
      </c>
      <c r="C76" s="505"/>
      <c r="D76" s="505">
        <v>2000</v>
      </c>
      <c r="E76" s="496"/>
      <c r="F76" s="573" t="s">
        <v>536</v>
      </c>
      <c r="G76" s="506"/>
      <c r="H76" s="585"/>
      <c r="I76" s="556"/>
    </row>
    <row r="77" spans="1:9" ht="15" customHeight="1" x14ac:dyDescent="0.3">
      <c r="A77" s="496"/>
      <c r="B77" s="600"/>
      <c r="C77" s="505"/>
      <c r="D77" s="505"/>
      <c r="E77" s="503">
        <v>5389.91</v>
      </c>
      <c r="F77" s="575" t="s">
        <v>11</v>
      </c>
      <c r="G77" s="506">
        <f>Depreciation!E135</f>
        <v>4581.42</v>
      </c>
      <c r="H77" s="504"/>
      <c r="I77" s="556"/>
    </row>
    <row r="78" spans="1:9" ht="15" customHeight="1" thickBot="1" x14ac:dyDescent="0.35">
      <c r="A78" s="496"/>
      <c r="B78" s="600" t="s">
        <v>26</v>
      </c>
      <c r="C78" s="505"/>
      <c r="D78" s="576"/>
      <c r="E78" s="496">
        <v>-808.49</v>
      </c>
      <c r="F78" s="575" t="s">
        <v>37</v>
      </c>
      <c r="G78" s="507">
        <f>Depreciation!E137</f>
        <v>-687.21</v>
      </c>
      <c r="H78" s="504">
        <f>+G77+G78</f>
        <v>3894.21</v>
      </c>
      <c r="I78" s="556"/>
    </row>
    <row r="79" spans="1:9" ht="15" customHeight="1" x14ac:dyDescent="0.3">
      <c r="A79" s="503">
        <v>105000</v>
      </c>
      <c r="B79" s="599" t="s">
        <v>11</v>
      </c>
      <c r="C79" s="503">
        <v>198500</v>
      </c>
      <c r="D79" s="505"/>
      <c r="E79" s="503"/>
      <c r="F79" s="575"/>
      <c r="G79" s="506"/>
      <c r="H79" s="504"/>
      <c r="I79" s="556"/>
    </row>
    <row r="80" spans="1:9" ht="15" customHeight="1" x14ac:dyDescent="0.3">
      <c r="A80" s="583">
        <v>175000</v>
      </c>
      <c r="B80" s="599" t="s">
        <v>63</v>
      </c>
      <c r="C80" s="496">
        <v>222000</v>
      </c>
      <c r="D80" s="498"/>
      <c r="E80" s="496"/>
      <c r="F80" s="573" t="s">
        <v>537</v>
      </c>
      <c r="G80" s="506"/>
      <c r="H80" s="585"/>
      <c r="I80" s="556"/>
    </row>
    <row r="81" spans="1:9" ht="15" customHeight="1" thickBot="1" x14ac:dyDescent="0.35">
      <c r="A81" s="496">
        <v>-81500</v>
      </c>
      <c r="B81" s="599" t="s">
        <v>330</v>
      </c>
      <c r="C81" s="524">
        <v>-156000</v>
      </c>
      <c r="D81" s="498">
        <f>SUM(C79:C81)</f>
        <v>264500</v>
      </c>
      <c r="E81" s="503">
        <v>194657.64</v>
      </c>
      <c r="F81" s="575" t="s">
        <v>11</v>
      </c>
      <c r="G81" s="506">
        <f>Depreciation!E149</f>
        <v>165458.99</v>
      </c>
      <c r="H81" s="504"/>
      <c r="I81" s="556"/>
    </row>
    <row r="82" spans="1:9" ht="15" customHeight="1" thickBot="1" x14ac:dyDescent="0.35">
      <c r="A82" s="503"/>
      <c r="B82" s="601"/>
      <c r="C82" s="496"/>
      <c r="D82" s="580"/>
      <c r="E82" s="496">
        <v>-29198.65</v>
      </c>
      <c r="F82" s="575" t="s">
        <v>37</v>
      </c>
      <c r="G82" s="507">
        <f>Depreciation!E151</f>
        <v>-24818.85</v>
      </c>
      <c r="H82" s="504">
        <f>+G81+G82</f>
        <v>140640.13999999998</v>
      </c>
      <c r="I82" s="556"/>
    </row>
    <row r="83" spans="1:9" ht="15" customHeight="1" x14ac:dyDescent="0.3">
      <c r="A83" s="503"/>
      <c r="B83" s="576"/>
      <c r="C83" s="498"/>
      <c r="D83" s="580"/>
      <c r="E83" s="503"/>
      <c r="F83" s="575"/>
      <c r="G83" s="506"/>
      <c r="H83" s="504"/>
      <c r="I83" s="556"/>
    </row>
    <row r="84" spans="1:9" ht="15" customHeight="1" x14ac:dyDescent="0.3">
      <c r="A84" s="558"/>
      <c r="B84" s="558"/>
      <c r="C84" s="558"/>
      <c r="D84" s="576"/>
      <c r="E84" s="496"/>
      <c r="F84" s="573" t="s">
        <v>551</v>
      </c>
      <c r="G84" s="506"/>
      <c r="H84" s="585"/>
      <c r="I84" s="556"/>
    </row>
    <row r="85" spans="1:9" ht="15" customHeight="1" x14ac:dyDescent="0.3">
      <c r="A85" s="558"/>
      <c r="B85" s="558"/>
      <c r="C85" s="558"/>
      <c r="D85" s="576"/>
      <c r="E85" s="503">
        <v>5424</v>
      </c>
      <c r="F85" s="575" t="s">
        <v>11</v>
      </c>
      <c r="G85" s="506">
        <f>Depreciation!E163</f>
        <v>4735.2299999999996</v>
      </c>
      <c r="H85" s="504"/>
      <c r="I85" s="556"/>
    </row>
    <row r="86" spans="1:9" ht="15" customHeight="1" thickBot="1" x14ac:dyDescent="0.35">
      <c r="A86" s="503"/>
      <c r="B86" s="600" t="s">
        <v>111</v>
      </c>
      <c r="C86" s="506"/>
      <c r="D86" s="525"/>
      <c r="E86" s="496">
        <v>-688.77369863013712</v>
      </c>
      <c r="F86" s="575" t="s">
        <v>37</v>
      </c>
      <c r="G86" s="507">
        <f>Depreciation!E165</f>
        <v>-710.28</v>
      </c>
      <c r="H86" s="504">
        <f>+G85+G86-0.01</f>
        <v>4024.9399999999996</v>
      </c>
      <c r="I86" s="556"/>
    </row>
    <row r="87" spans="1:9" ht="15" customHeight="1" x14ac:dyDescent="0.3">
      <c r="A87" s="503">
        <v>25000</v>
      </c>
      <c r="B87" s="599" t="s">
        <v>30</v>
      </c>
      <c r="C87" s="521">
        <v>34800</v>
      </c>
      <c r="D87" s="518"/>
      <c r="E87" s="503"/>
      <c r="F87" s="575"/>
      <c r="G87" s="506"/>
      <c r="H87" s="504"/>
      <c r="I87" s="556"/>
    </row>
    <row r="88" spans="1:9" ht="15" customHeight="1" x14ac:dyDescent="0.3">
      <c r="A88" s="503">
        <v>0</v>
      </c>
      <c r="B88" s="599" t="s">
        <v>765</v>
      </c>
      <c r="C88" s="504">
        <v>156000</v>
      </c>
      <c r="D88" s="518"/>
      <c r="E88" s="503"/>
      <c r="F88" s="573" t="s">
        <v>25</v>
      </c>
      <c r="G88" s="506"/>
      <c r="H88" s="504"/>
      <c r="I88" s="556"/>
    </row>
    <row r="89" spans="1:9" ht="15" customHeight="1" x14ac:dyDescent="0.3">
      <c r="A89" s="503">
        <v>11020</v>
      </c>
      <c r="B89" s="599" t="s">
        <v>31</v>
      </c>
      <c r="C89" s="521">
        <v>10620</v>
      </c>
      <c r="E89" s="503">
        <v>591150.96</v>
      </c>
      <c r="F89" s="575" t="s">
        <v>419</v>
      </c>
      <c r="G89" s="506"/>
      <c r="H89" s="504">
        <v>682187.95</v>
      </c>
      <c r="I89" s="556"/>
    </row>
    <row r="90" spans="1:9" ht="15" customHeight="1" x14ac:dyDescent="0.3">
      <c r="A90" s="503">
        <v>211679</v>
      </c>
      <c r="B90" s="599" t="s">
        <v>36</v>
      </c>
      <c r="C90" s="521">
        <v>0</v>
      </c>
      <c r="D90" s="518"/>
      <c r="E90" s="503">
        <v>0</v>
      </c>
      <c r="F90" s="451" t="s">
        <v>756</v>
      </c>
      <c r="G90" s="526"/>
      <c r="H90" s="602">
        <v>296827</v>
      </c>
      <c r="I90" s="556"/>
    </row>
    <row r="91" spans="1:9" ht="15" customHeight="1" x14ac:dyDescent="0.3">
      <c r="A91" s="503">
        <v>91769</v>
      </c>
      <c r="B91" s="599" t="s">
        <v>396</v>
      </c>
      <c r="C91" s="504">
        <v>131100.5</v>
      </c>
      <c r="D91" s="518"/>
      <c r="E91" s="503"/>
      <c r="F91" s="573" t="s">
        <v>275</v>
      </c>
      <c r="G91" s="506"/>
      <c r="H91" s="504"/>
      <c r="I91" s="556"/>
    </row>
    <row r="92" spans="1:9" ht="15" customHeight="1" x14ac:dyDescent="0.3">
      <c r="A92" s="503">
        <v>0</v>
      </c>
      <c r="B92" s="599" t="s">
        <v>702</v>
      </c>
      <c r="C92" s="603">
        <v>6994</v>
      </c>
      <c r="D92" s="527">
        <f>SUM(C86:C92)</f>
        <v>339514.5</v>
      </c>
      <c r="E92" s="503"/>
      <c r="F92" s="573"/>
      <c r="G92" s="506"/>
      <c r="H92" s="504"/>
      <c r="I92" s="556"/>
    </row>
    <row r="93" spans="1:9" ht="15" customHeight="1" x14ac:dyDescent="0.3">
      <c r="A93" s="503"/>
      <c r="B93" s="599"/>
      <c r="C93" s="504"/>
      <c r="D93" s="527"/>
      <c r="E93" s="503">
        <v>22750</v>
      </c>
      <c r="F93" s="575" t="s">
        <v>27</v>
      </c>
      <c r="G93" s="506">
        <v>30810</v>
      </c>
      <c r="H93" s="504"/>
      <c r="I93" s="604"/>
    </row>
    <row r="94" spans="1:9" ht="15" customHeight="1" x14ac:dyDescent="0.3">
      <c r="A94" s="503"/>
      <c r="B94" s="599"/>
      <c r="C94" s="504"/>
      <c r="D94" s="525"/>
      <c r="E94" s="503">
        <v>1358.31</v>
      </c>
      <c r="F94" s="575" t="s">
        <v>28</v>
      </c>
      <c r="G94" s="506">
        <v>1358.31</v>
      </c>
      <c r="H94" s="504"/>
      <c r="I94" s="604"/>
    </row>
    <row r="95" spans="1:9" ht="15" customHeight="1" x14ac:dyDescent="0.3">
      <c r="A95" s="503"/>
      <c r="B95" s="599"/>
      <c r="C95" s="504"/>
      <c r="D95" s="525"/>
      <c r="E95" s="503">
        <v>38</v>
      </c>
      <c r="F95" s="575" t="s">
        <v>29</v>
      </c>
      <c r="G95" s="506">
        <v>38</v>
      </c>
      <c r="H95" s="504"/>
      <c r="I95" s="604"/>
    </row>
    <row r="96" spans="1:9" ht="15" customHeight="1" x14ac:dyDescent="0.3">
      <c r="A96" s="496"/>
      <c r="B96" s="599"/>
      <c r="C96" s="501"/>
      <c r="D96" s="517"/>
      <c r="E96" s="496">
        <v>950</v>
      </c>
      <c r="F96" s="574" t="s">
        <v>65</v>
      </c>
      <c r="G96" s="528">
        <v>950</v>
      </c>
      <c r="H96" s="506">
        <f>SUM(G93:G96)</f>
        <v>33156.31</v>
      </c>
      <c r="I96" s="604"/>
    </row>
    <row r="97" spans="1:9" s="590" customFormat="1" ht="15" customHeight="1" thickBot="1" x14ac:dyDescent="0.3">
      <c r="A97" s="513">
        <f>SUM(A54:A96)</f>
        <v>32603460.730000004</v>
      </c>
      <c r="B97" s="605"/>
      <c r="C97" s="529"/>
      <c r="D97" s="513">
        <f>SUM(D54:D96)</f>
        <v>36253811.230000004</v>
      </c>
      <c r="E97" s="513">
        <f>SUM(E54:E96)</f>
        <v>29295505.600614455</v>
      </c>
      <c r="F97" s="588"/>
      <c r="G97" s="515"/>
      <c r="H97" s="516">
        <f>SUM(H54:H96)</f>
        <v>36862769.438277125</v>
      </c>
      <c r="I97" s="589"/>
    </row>
    <row r="98" spans="1:9" ht="15" customHeight="1" thickBot="1" x14ac:dyDescent="0.35">
      <c r="A98" s="498"/>
      <c r="C98" s="517"/>
      <c r="D98" s="518"/>
      <c r="E98" s="518"/>
      <c r="F98" s="591"/>
      <c r="G98" s="519"/>
      <c r="H98" s="520" t="s">
        <v>204</v>
      </c>
      <c r="I98" s="556"/>
    </row>
    <row r="99" spans="1:9" s="567" customFormat="1" ht="15" customHeight="1" x14ac:dyDescent="0.25">
      <c r="A99" s="631"/>
      <c r="B99" s="606"/>
      <c r="C99" s="606"/>
      <c r="D99" s="606"/>
      <c r="E99" s="565"/>
      <c r="F99" s="565"/>
      <c r="G99" s="565"/>
      <c r="H99" s="632"/>
      <c r="I99" s="566"/>
    </row>
    <row r="100" spans="1:9" s="567" customFormat="1" ht="15" customHeight="1" x14ac:dyDescent="0.25">
      <c r="A100" s="633" t="s">
        <v>0</v>
      </c>
      <c r="B100" s="592" t="s">
        <v>1</v>
      </c>
      <c r="C100" s="492"/>
      <c r="D100" s="492" t="s">
        <v>0</v>
      </c>
      <c r="E100" s="493" t="s">
        <v>0</v>
      </c>
      <c r="F100" s="493" t="s">
        <v>2</v>
      </c>
      <c r="G100" s="493"/>
      <c r="H100" s="634" t="s">
        <v>0</v>
      </c>
      <c r="I100" s="566"/>
    </row>
    <row r="101" spans="1:9" s="567" customFormat="1" ht="15" customHeight="1" x14ac:dyDescent="0.25">
      <c r="A101" s="554">
        <v>44621</v>
      </c>
      <c r="B101" s="592"/>
      <c r="C101" s="492"/>
      <c r="D101" s="494">
        <v>44986</v>
      </c>
      <c r="E101" s="495">
        <v>44621</v>
      </c>
      <c r="F101" s="493"/>
      <c r="G101" s="493"/>
      <c r="H101" s="555">
        <v>44986</v>
      </c>
      <c r="I101" s="566"/>
    </row>
    <row r="102" spans="1:9" s="567" customFormat="1" ht="15" customHeight="1" x14ac:dyDescent="0.25">
      <c r="A102" s="635"/>
      <c r="B102" s="628"/>
      <c r="C102" s="628"/>
      <c r="D102" s="627"/>
      <c r="E102" s="629"/>
      <c r="F102" s="630"/>
      <c r="G102" s="630"/>
      <c r="H102" s="636"/>
      <c r="I102" s="566"/>
    </row>
    <row r="103" spans="1:9" ht="15" customHeight="1" x14ac:dyDescent="0.3">
      <c r="A103" s="637">
        <f>A97</f>
        <v>32603460.730000004</v>
      </c>
      <c r="B103" s="585" t="s">
        <v>70</v>
      </c>
      <c r="C103" s="517"/>
      <c r="D103" s="584">
        <f>D97</f>
        <v>36253811.230000004</v>
      </c>
      <c r="E103" s="625">
        <f>E97</f>
        <v>29295505.600614455</v>
      </c>
      <c r="F103" s="585" t="s">
        <v>70</v>
      </c>
      <c r="G103" s="626"/>
      <c r="H103" s="638">
        <f>H97</f>
        <v>36862769.438277125</v>
      </c>
      <c r="I103" s="556"/>
    </row>
    <row r="104" spans="1:9" ht="15" customHeight="1" x14ac:dyDescent="0.3">
      <c r="A104" s="639"/>
      <c r="B104" s="574"/>
      <c r="D104" s="585"/>
      <c r="E104" s="530"/>
      <c r="F104" s="574"/>
      <c r="G104" s="616"/>
      <c r="H104" s="638"/>
      <c r="I104" s="556"/>
    </row>
    <row r="105" spans="1:9" ht="15" customHeight="1" x14ac:dyDescent="0.3">
      <c r="A105" s="640">
        <v>1000</v>
      </c>
      <c r="B105" s="574" t="s">
        <v>542</v>
      </c>
      <c r="C105" s="517">
        <v>0</v>
      </c>
      <c r="D105" s="585"/>
      <c r="E105" s="624">
        <v>46297.89</v>
      </c>
      <c r="F105" s="574" t="s">
        <v>79</v>
      </c>
      <c r="G105" s="617">
        <v>19129.52</v>
      </c>
      <c r="H105" s="641"/>
      <c r="I105" s="556"/>
    </row>
    <row r="106" spans="1:9" ht="15" customHeight="1" x14ac:dyDescent="0.3">
      <c r="A106" s="640">
        <v>18503</v>
      </c>
      <c r="B106" s="574" t="s">
        <v>288</v>
      </c>
      <c r="C106" s="619">
        <v>55526.16</v>
      </c>
      <c r="D106" s="585"/>
      <c r="E106" s="530">
        <v>0</v>
      </c>
      <c r="F106" s="574" t="s">
        <v>203</v>
      </c>
      <c r="G106" s="616">
        <v>0</v>
      </c>
      <c r="H106" s="641"/>
      <c r="I106" s="556"/>
    </row>
    <row r="107" spans="1:9" ht="15" customHeight="1" x14ac:dyDescent="0.3">
      <c r="A107" s="640">
        <v>589859.36</v>
      </c>
      <c r="B107" s="574" t="s">
        <v>420</v>
      </c>
      <c r="C107" s="619">
        <f>712968.04</f>
        <v>712968.04</v>
      </c>
      <c r="D107" s="521"/>
      <c r="E107" s="519">
        <v>0</v>
      </c>
      <c r="F107" s="574" t="s">
        <v>711</v>
      </c>
      <c r="G107" s="616">
        <v>13595.16</v>
      </c>
      <c r="H107" s="641"/>
      <c r="I107" s="556"/>
    </row>
    <row r="108" spans="1:9" ht="15" customHeight="1" x14ac:dyDescent="0.3">
      <c r="A108" s="640">
        <v>26573</v>
      </c>
      <c r="B108" s="574" t="s">
        <v>554</v>
      </c>
      <c r="C108" s="620">
        <v>0</v>
      </c>
      <c r="D108" s="521"/>
      <c r="E108" s="519">
        <v>45570</v>
      </c>
      <c r="F108" s="574" t="s">
        <v>207</v>
      </c>
      <c r="G108" s="616">
        <v>26400</v>
      </c>
      <c r="H108" s="641"/>
      <c r="I108" s="556"/>
    </row>
    <row r="109" spans="1:9" ht="15" customHeight="1" x14ac:dyDescent="0.3">
      <c r="A109" s="640">
        <v>8500</v>
      </c>
      <c r="B109" s="574" t="s">
        <v>553</v>
      </c>
      <c r="C109" s="620">
        <v>0</v>
      </c>
      <c r="D109" s="521"/>
      <c r="E109" s="519">
        <v>99247.47</v>
      </c>
      <c r="F109" s="574" t="s">
        <v>535</v>
      </c>
      <c r="G109" s="616">
        <v>0</v>
      </c>
      <c r="H109" s="641"/>
      <c r="I109" s="556"/>
    </row>
    <row r="110" spans="1:9" ht="15" customHeight="1" x14ac:dyDescent="0.3">
      <c r="A110" s="640">
        <v>114200</v>
      </c>
      <c r="B110" s="574" t="s">
        <v>533</v>
      </c>
      <c r="C110" s="518">
        <v>17800</v>
      </c>
      <c r="D110" s="521"/>
      <c r="E110" s="530">
        <v>0</v>
      </c>
      <c r="F110" s="574" t="s">
        <v>709</v>
      </c>
      <c r="G110" s="616">
        <v>50000</v>
      </c>
      <c r="H110" s="641"/>
      <c r="I110" s="556"/>
    </row>
    <row r="111" spans="1:9" ht="15" customHeight="1" x14ac:dyDescent="0.3">
      <c r="A111" s="640">
        <v>0</v>
      </c>
      <c r="B111" s="574" t="s">
        <v>703</v>
      </c>
      <c r="C111" s="518">
        <v>1770</v>
      </c>
      <c r="D111" s="521"/>
      <c r="E111" s="530">
        <v>500</v>
      </c>
      <c r="F111" s="574" t="s">
        <v>534</v>
      </c>
      <c r="G111" s="616">
        <v>500</v>
      </c>
      <c r="H111" s="641"/>
      <c r="I111" s="556"/>
    </row>
    <row r="112" spans="1:9" ht="15" customHeight="1" x14ac:dyDescent="0.3">
      <c r="A112" s="640">
        <v>0</v>
      </c>
      <c r="B112" s="574" t="s">
        <v>704</v>
      </c>
      <c r="C112" s="518">
        <v>27000</v>
      </c>
      <c r="D112" s="521"/>
      <c r="E112" s="530">
        <v>5000</v>
      </c>
      <c r="F112" s="575" t="s">
        <v>435</v>
      </c>
      <c r="G112" s="616">
        <v>0</v>
      </c>
      <c r="H112" s="641"/>
      <c r="I112" s="556"/>
    </row>
    <row r="113" spans="1:9" ht="15" customHeight="1" x14ac:dyDescent="0.3">
      <c r="A113" s="642">
        <v>111515.5</v>
      </c>
      <c r="B113" s="574" t="s">
        <v>538</v>
      </c>
      <c r="C113" s="518">
        <v>0</v>
      </c>
      <c r="D113" s="521"/>
      <c r="E113" s="530">
        <v>15000</v>
      </c>
      <c r="F113" s="574" t="s">
        <v>557</v>
      </c>
      <c r="G113" s="616">
        <v>0</v>
      </c>
      <c r="H113" s="641"/>
      <c r="I113" s="556"/>
    </row>
    <row r="114" spans="1:9" ht="15" customHeight="1" x14ac:dyDescent="0.3">
      <c r="A114" s="640">
        <v>0</v>
      </c>
      <c r="B114" s="574" t="s">
        <v>705</v>
      </c>
      <c r="C114" s="621">
        <v>22659</v>
      </c>
      <c r="D114" s="521"/>
      <c r="E114" s="530">
        <v>0</v>
      </c>
      <c r="F114" s="574" t="s">
        <v>708</v>
      </c>
      <c r="G114" s="616">
        <v>2970</v>
      </c>
      <c r="H114" s="641"/>
      <c r="I114" s="556"/>
    </row>
    <row r="115" spans="1:9" ht="15" customHeight="1" x14ac:dyDescent="0.3">
      <c r="A115" s="642">
        <v>683834.55</v>
      </c>
      <c r="B115" s="574" t="s">
        <v>539</v>
      </c>
      <c r="C115" s="621">
        <v>0</v>
      </c>
      <c r="D115" s="521"/>
      <c r="E115" s="557">
        <v>55012</v>
      </c>
      <c r="F115" s="574" t="s">
        <v>764</v>
      </c>
      <c r="G115" s="616">
        <v>6383</v>
      </c>
      <c r="H115" s="641"/>
      <c r="I115" s="556"/>
    </row>
    <row r="116" spans="1:9" ht="15" customHeight="1" x14ac:dyDescent="0.3">
      <c r="A116" s="640">
        <v>0</v>
      </c>
      <c r="B116" s="574" t="s">
        <v>706</v>
      </c>
      <c r="C116" s="621">
        <v>1560249</v>
      </c>
      <c r="D116" s="521"/>
      <c r="E116" s="530">
        <v>5773743</v>
      </c>
      <c r="F116" s="574" t="s">
        <v>555</v>
      </c>
      <c r="G116" s="616">
        <v>1495550</v>
      </c>
      <c r="H116" s="641"/>
      <c r="I116" s="556"/>
    </row>
    <row r="117" spans="1:9" ht="15" customHeight="1" x14ac:dyDescent="0.3">
      <c r="A117" s="640">
        <v>0</v>
      </c>
      <c r="B117" s="574" t="s">
        <v>707</v>
      </c>
      <c r="C117" s="518">
        <v>333</v>
      </c>
      <c r="D117" s="521"/>
      <c r="E117" s="530">
        <v>60000</v>
      </c>
      <c r="F117" s="574" t="s">
        <v>558</v>
      </c>
      <c r="G117" s="616">
        <v>0</v>
      </c>
      <c r="H117" s="643"/>
      <c r="I117" s="556"/>
    </row>
    <row r="118" spans="1:9" ht="15" customHeight="1" x14ac:dyDescent="0.3">
      <c r="A118" s="640">
        <v>1277387</v>
      </c>
      <c r="B118" s="574" t="s">
        <v>763</v>
      </c>
      <c r="C118" s="557">
        <v>33240</v>
      </c>
      <c r="D118" s="521">
        <f>+SUM(C105:C118)</f>
        <v>2431545.2000000002</v>
      </c>
      <c r="E118" s="530">
        <v>186864.2</v>
      </c>
      <c r="F118" s="574" t="s">
        <v>566</v>
      </c>
      <c r="G118" s="616">
        <v>240502.12</v>
      </c>
      <c r="H118" s="643"/>
      <c r="I118" s="556"/>
    </row>
    <row r="119" spans="1:9" ht="15" customHeight="1" x14ac:dyDescent="0.3">
      <c r="A119" s="640"/>
      <c r="B119" s="574"/>
      <c r="C119" s="518"/>
      <c r="D119" s="521"/>
      <c r="E119" s="530">
        <v>285947</v>
      </c>
      <c r="F119" s="574" t="s">
        <v>564</v>
      </c>
      <c r="G119" s="618">
        <v>503926.05</v>
      </c>
      <c r="H119" s="638">
        <f>SUM(G105:G119)</f>
        <v>2358955.8499999996</v>
      </c>
      <c r="I119" s="556"/>
    </row>
    <row r="120" spans="1:9" ht="15" customHeight="1" x14ac:dyDescent="0.3">
      <c r="A120" s="642"/>
      <c r="B120" s="573" t="s">
        <v>38</v>
      </c>
      <c r="C120" s="519"/>
      <c r="D120" s="521"/>
      <c r="F120" s="574"/>
      <c r="H120" s="638"/>
      <c r="I120" s="556"/>
    </row>
    <row r="121" spans="1:9" ht="15" customHeight="1" x14ac:dyDescent="0.3">
      <c r="A121" s="640">
        <v>29291.85</v>
      </c>
      <c r="B121" s="575" t="s">
        <v>74</v>
      </c>
      <c r="C121" s="622">
        <v>433854.02</v>
      </c>
      <c r="D121" s="521"/>
      <c r="E121" s="530"/>
      <c r="F121" s="574"/>
      <c r="G121" s="616"/>
      <c r="H121" s="638"/>
      <c r="I121" s="556"/>
    </row>
    <row r="122" spans="1:9" ht="30.6" customHeight="1" x14ac:dyDescent="0.3">
      <c r="A122" s="640">
        <v>0</v>
      </c>
      <c r="B122" s="577" t="s">
        <v>723</v>
      </c>
      <c r="C122" s="622">
        <v>-5000</v>
      </c>
      <c r="D122" s="521"/>
      <c r="F122" s="574"/>
      <c r="H122" s="638"/>
      <c r="I122" s="556"/>
    </row>
    <row r="123" spans="1:9" ht="32.4" customHeight="1" thickBot="1" x14ac:dyDescent="0.35">
      <c r="A123" s="640">
        <f>'I&amp;E'!A71</f>
        <v>404562.1728128253</v>
      </c>
      <c r="B123" s="577" t="s">
        <v>701</v>
      </c>
      <c r="C123" s="623">
        <f>'I&amp;E'!D71</f>
        <v>107514.83999999892</v>
      </c>
      <c r="D123" s="506">
        <f>SUM(C121:C123)</f>
        <v>536368.85999999894</v>
      </c>
      <c r="F123" s="574"/>
      <c r="H123" s="644"/>
      <c r="I123" s="556"/>
    </row>
    <row r="124" spans="1:9" ht="15" customHeight="1" thickBot="1" x14ac:dyDescent="0.35">
      <c r="A124" s="645"/>
      <c r="B124" s="646"/>
      <c r="C124" s="647"/>
      <c r="D124" s="648"/>
      <c r="E124" s="649"/>
      <c r="F124" s="646"/>
      <c r="G124" s="650"/>
      <c r="H124" s="651"/>
      <c r="I124" s="556"/>
    </row>
    <row r="125" spans="1:9" s="590" customFormat="1" ht="15" customHeight="1" x14ac:dyDescent="0.25">
      <c r="A125" s="677">
        <f>SUM(A103:A123)</f>
        <v>35868687.162812829</v>
      </c>
      <c r="B125" s="679" t="s">
        <v>81</v>
      </c>
      <c r="C125" s="681"/>
      <c r="D125" s="677">
        <f>D103+D123+D118</f>
        <v>39221725.290000007</v>
      </c>
      <c r="E125" s="683">
        <f>SUM(E103:E121)</f>
        <v>35868687.160614461</v>
      </c>
      <c r="F125" s="683" t="s">
        <v>81</v>
      </c>
      <c r="G125" s="685"/>
      <c r="H125" s="683">
        <f>SUM(H103:H124)</f>
        <v>39221725.288277127</v>
      </c>
      <c r="I125" s="589"/>
    </row>
    <row r="126" spans="1:9" s="590" customFormat="1" ht="15" customHeight="1" thickBot="1" x14ac:dyDescent="0.3">
      <c r="A126" s="678"/>
      <c r="B126" s="680"/>
      <c r="C126" s="682"/>
      <c r="D126" s="678"/>
      <c r="E126" s="684"/>
      <c r="F126" s="684"/>
      <c r="G126" s="686"/>
      <c r="H126" s="684"/>
      <c r="I126" s="589"/>
    </row>
    <row r="127" spans="1:9" ht="15" customHeight="1" x14ac:dyDescent="0.3">
      <c r="A127" s="503"/>
      <c r="B127" s="667"/>
      <c r="C127" s="519"/>
      <c r="D127" s="518"/>
      <c r="E127" s="519"/>
      <c r="G127" s="530"/>
      <c r="H127" s="607"/>
      <c r="I127" s="556"/>
    </row>
    <row r="128" spans="1:9" ht="15" customHeight="1" x14ac:dyDescent="0.3">
      <c r="A128" s="531"/>
      <c r="B128" s="556"/>
      <c r="C128" s="518"/>
      <c r="D128" s="518"/>
      <c r="E128" s="532"/>
      <c r="F128" s="556"/>
      <c r="G128" s="533"/>
      <c r="H128" s="534"/>
      <c r="I128" s="556"/>
    </row>
    <row r="129" spans="1:32" ht="15" customHeight="1" x14ac:dyDescent="0.3">
      <c r="A129" s="485" t="s">
        <v>759</v>
      </c>
      <c r="B129" s="556"/>
      <c r="C129" s="608"/>
      <c r="D129" s="608"/>
      <c r="E129" s="556"/>
      <c r="F129" s="608"/>
      <c r="G129" s="608"/>
      <c r="H129" s="609"/>
      <c r="I129" s="556"/>
      <c r="AF129" s="556"/>
    </row>
    <row r="130" spans="1:32" ht="15" customHeight="1" x14ac:dyDescent="0.3">
      <c r="A130" s="485" t="s">
        <v>720</v>
      </c>
      <c r="B130" s="556"/>
      <c r="C130" s="608"/>
      <c r="D130" s="608"/>
      <c r="E130" s="610" t="s">
        <v>768</v>
      </c>
      <c r="F130" s="608"/>
      <c r="G130" s="608"/>
      <c r="H130" s="609"/>
      <c r="I130" s="556"/>
    </row>
    <row r="131" spans="1:32" ht="15" customHeight="1" x14ac:dyDescent="0.3">
      <c r="A131" s="485" t="s">
        <v>205</v>
      </c>
      <c r="B131" s="556"/>
      <c r="C131" s="608"/>
      <c r="D131" s="608"/>
      <c r="E131" s="608"/>
      <c r="F131" s="608"/>
      <c r="G131" s="608"/>
      <c r="H131" s="609"/>
      <c r="I131" s="556"/>
    </row>
    <row r="132" spans="1:32" ht="15" customHeight="1" x14ac:dyDescent="0.3">
      <c r="A132" s="483" t="s">
        <v>721</v>
      </c>
      <c r="B132" s="556"/>
      <c r="C132" s="608"/>
      <c r="D132" s="608"/>
      <c r="E132" s="608"/>
      <c r="F132" s="608"/>
      <c r="G132" s="608"/>
      <c r="H132" s="609"/>
      <c r="I132" s="556"/>
    </row>
    <row r="133" spans="1:32" ht="15" customHeight="1" x14ac:dyDescent="0.3">
      <c r="A133" s="611"/>
      <c r="B133" s="556"/>
      <c r="C133" s="608"/>
      <c r="D133" s="608"/>
      <c r="E133" s="608"/>
      <c r="F133" s="608"/>
      <c r="G133" s="608"/>
      <c r="H133" s="609"/>
      <c r="I133" s="556"/>
    </row>
    <row r="134" spans="1:32" ht="15" customHeight="1" x14ac:dyDescent="0.3">
      <c r="A134" s="611"/>
      <c r="B134" s="556"/>
      <c r="C134" s="608"/>
      <c r="D134" s="608"/>
      <c r="E134" s="608"/>
      <c r="F134" s="608"/>
      <c r="G134" s="608"/>
      <c r="H134" s="609"/>
      <c r="I134" s="556"/>
    </row>
    <row r="135" spans="1:32" ht="15" customHeight="1" x14ac:dyDescent="0.3">
      <c r="A135" s="611"/>
      <c r="B135" s="556"/>
      <c r="C135" s="608"/>
      <c r="D135" s="608"/>
      <c r="E135" s="608"/>
      <c r="F135" s="608"/>
      <c r="G135" s="608"/>
      <c r="H135" s="609"/>
      <c r="I135" s="556"/>
    </row>
    <row r="136" spans="1:32" ht="15" customHeight="1" x14ac:dyDescent="0.3">
      <c r="A136" s="485" t="s">
        <v>722</v>
      </c>
      <c r="B136" s="556"/>
      <c r="C136" s="556"/>
      <c r="D136" s="608"/>
      <c r="E136" s="608"/>
      <c r="F136" s="608"/>
      <c r="G136" s="608"/>
      <c r="H136" s="609"/>
      <c r="I136" s="556"/>
    </row>
    <row r="137" spans="1:32" ht="15" customHeight="1" x14ac:dyDescent="0.3">
      <c r="A137" s="485" t="s">
        <v>744</v>
      </c>
      <c r="B137" s="556"/>
      <c r="C137" s="556"/>
      <c r="D137" s="608"/>
      <c r="E137" s="610" t="s">
        <v>89</v>
      </c>
      <c r="F137" s="610"/>
      <c r="G137" s="610"/>
      <c r="H137" s="609"/>
      <c r="I137" s="556"/>
    </row>
    <row r="138" spans="1:32" ht="15" customHeight="1" x14ac:dyDescent="0.3">
      <c r="A138" s="576" t="s">
        <v>761</v>
      </c>
      <c r="B138" s="556"/>
      <c r="C138" s="556"/>
      <c r="D138" s="608"/>
      <c r="E138" s="608"/>
      <c r="F138" s="608"/>
      <c r="G138" s="608"/>
      <c r="H138" s="609"/>
      <c r="I138" s="556"/>
    </row>
    <row r="139" spans="1:32" ht="15" customHeight="1" x14ac:dyDescent="0.3">
      <c r="A139" s="576"/>
      <c r="B139" s="556"/>
      <c r="C139" s="556"/>
      <c r="D139" s="608"/>
      <c r="E139" s="608"/>
      <c r="F139" s="608"/>
      <c r="G139" s="608"/>
      <c r="H139" s="609"/>
      <c r="I139" s="556"/>
    </row>
    <row r="140" spans="1:32" ht="15" customHeight="1" x14ac:dyDescent="0.3">
      <c r="A140" s="485" t="s">
        <v>206</v>
      </c>
      <c r="B140" s="556"/>
      <c r="C140" s="556"/>
      <c r="D140" s="608"/>
      <c r="E140" s="610" t="s">
        <v>33</v>
      </c>
      <c r="F140" s="608"/>
      <c r="G140" s="608"/>
      <c r="H140" s="609"/>
      <c r="I140" s="556"/>
    </row>
    <row r="141" spans="1:32" ht="15" customHeight="1" x14ac:dyDescent="0.3">
      <c r="A141" s="540" t="s">
        <v>762</v>
      </c>
      <c r="B141" s="612"/>
      <c r="C141" s="612"/>
      <c r="D141" s="613"/>
      <c r="E141" s="540" t="s">
        <v>762</v>
      </c>
      <c r="F141" s="612"/>
      <c r="G141" s="612"/>
      <c r="H141" s="614"/>
      <c r="I141" s="556"/>
    </row>
    <row r="142" spans="1:32" ht="15" customHeight="1" x14ac:dyDescent="0.3">
      <c r="B142" s="556"/>
      <c r="C142" s="556"/>
      <c r="D142" s="608"/>
      <c r="E142" s="556"/>
      <c r="F142" s="556"/>
      <c r="G142" s="556"/>
      <c r="H142" s="608"/>
      <c r="I142" s="556"/>
    </row>
    <row r="143" spans="1:32" ht="15" customHeight="1" x14ac:dyDescent="0.3">
      <c r="B143" s="556"/>
      <c r="C143" s="556"/>
      <c r="D143" s="608"/>
      <c r="E143" s="556"/>
      <c r="F143" s="556"/>
      <c r="G143" s="556"/>
      <c r="H143" s="608"/>
      <c r="I143" s="556"/>
    </row>
    <row r="144" spans="1:32" ht="15" customHeight="1" x14ac:dyDescent="0.3">
      <c r="I144" s="556"/>
    </row>
    <row r="145" spans="9:9" ht="15" customHeight="1" x14ac:dyDescent="0.3">
      <c r="I145" s="556"/>
    </row>
    <row r="146" spans="9:9" ht="15" customHeight="1" x14ac:dyDescent="0.3">
      <c r="I146" s="556"/>
    </row>
    <row r="147" spans="9:9" ht="15" customHeight="1" x14ac:dyDescent="0.3">
      <c r="I147" s="556"/>
    </row>
    <row r="148" spans="9:9" ht="15" customHeight="1" x14ac:dyDescent="0.3">
      <c r="I148" s="556">
        <f>SUM(H125-D125)</f>
        <v>-1.7228797078132629E-3</v>
      </c>
    </row>
    <row r="149" spans="9:9" ht="15" customHeight="1" x14ac:dyDescent="0.3">
      <c r="I149" s="556"/>
    </row>
    <row r="150" spans="9:9" ht="15" customHeight="1" x14ac:dyDescent="0.3">
      <c r="I150" s="556"/>
    </row>
    <row r="151" spans="9:9" ht="15" customHeight="1" x14ac:dyDescent="0.3">
      <c r="I151" s="556"/>
    </row>
    <row r="152" spans="9:9" ht="15" customHeight="1" x14ac:dyDescent="0.3">
      <c r="I152" s="556"/>
    </row>
    <row r="153" spans="9:9" ht="15" customHeight="1" x14ac:dyDescent="0.3">
      <c r="I153" s="556"/>
    </row>
    <row r="154" spans="9:9" ht="15" customHeight="1" x14ac:dyDescent="0.3">
      <c r="I154" s="556"/>
    </row>
    <row r="155" spans="9:9" ht="15" customHeight="1" x14ac:dyDescent="0.3">
      <c r="I155" s="556"/>
    </row>
    <row r="156" spans="9:9" ht="15" customHeight="1" x14ac:dyDescent="0.3">
      <c r="I156" s="556"/>
    </row>
    <row r="157" spans="9:9" ht="15" customHeight="1" x14ac:dyDescent="0.3">
      <c r="I157" s="556"/>
    </row>
    <row r="158" spans="9:9" ht="15" customHeight="1" x14ac:dyDescent="0.3">
      <c r="I158" s="556"/>
    </row>
    <row r="159" spans="9:9" ht="15" customHeight="1" x14ac:dyDescent="0.3">
      <c r="I159" s="556"/>
    </row>
    <row r="160" spans="9:9" ht="15" customHeight="1" x14ac:dyDescent="0.3">
      <c r="I160" s="556"/>
    </row>
    <row r="161" spans="9:9" ht="15" customHeight="1" x14ac:dyDescent="0.3">
      <c r="I161" s="556"/>
    </row>
    <row r="162" spans="9:9" ht="15" customHeight="1" x14ac:dyDescent="0.3">
      <c r="I162" s="556"/>
    </row>
    <row r="163" spans="9:9" ht="15" customHeight="1" x14ac:dyDescent="0.3">
      <c r="I163" s="556"/>
    </row>
  </sheetData>
  <mergeCells count="10">
    <mergeCell ref="A1:H1"/>
    <mergeCell ref="A3:H3"/>
    <mergeCell ref="A125:A126"/>
    <mergeCell ref="B125:B126"/>
    <mergeCell ref="C125:C126"/>
    <mergeCell ref="D125:D126"/>
    <mergeCell ref="E125:E126"/>
    <mergeCell ref="F125:F126"/>
    <mergeCell ref="G125:G126"/>
    <mergeCell ref="H125:H126"/>
  </mergeCells>
  <phoneticPr fontId="0" type="noConversion"/>
  <printOptions horizontalCentered="1"/>
  <pageMargins left="0.23622047244094491" right="0" top="0.23622047244094491" bottom="0.15748031496062992" header="0.15748031496062992" footer="0.15748031496062992"/>
  <pageSetup paperSize="9" scale="75" orientation="landscape" r:id="rId1"/>
  <headerFooter scaleWithDoc="0" alignWithMargins="0"/>
  <rowBreaks count="2" manualBreakCount="2">
    <brk id="49" max="7" man="1"/>
    <brk id="9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0"/>
  <sheetViews>
    <sheetView topLeftCell="A66" workbookViewId="0">
      <selection activeCell="C92" sqref="C92"/>
    </sheetView>
  </sheetViews>
  <sheetFormatPr defaultColWidth="9.109375" defaultRowHeight="14.4" x14ac:dyDescent="0.3"/>
  <cols>
    <col min="1" max="1" width="37.44140625" style="87" bestFit="1" customWidth="1"/>
    <col min="2" max="3" width="14.88671875" style="89" bestFit="1" customWidth="1"/>
    <col min="4" max="4" width="14.88671875" style="93" bestFit="1" customWidth="1"/>
    <col min="5" max="5" width="14.88671875" style="89" bestFit="1" customWidth="1"/>
    <col min="6" max="16384" width="9.109375" style="87"/>
  </cols>
  <sheetData>
    <row r="1" spans="1:5" ht="15.6" x14ac:dyDescent="0.3">
      <c r="A1" s="688" t="s">
        <v>461</v>
      </c>
      <c r="B1" s="688"/>
      <c r="C1" s="688"/>
      <c r="D1" s="688"/>
      <c r="E1" s="688"/>
    </row>
    <row r="2" spans="1:5" ht="15.6" x14ac:dyDescent="0.3">
      <c r="A2" s="689" t="s">
        <v>322</v>
      </c>
      <c r="B2" s="689"/>
      <c r="C2" s="689"/>
      <c r="D2" s="689"/>
      <c r="E2" s="689"/>
    </row>
    <row r="3" spans="1:5" ht="15.6" x14ac:dyDescent="0.3">
      <c r="A3" s="690" t="s">
        <v>633</v>
      </c>
      <c r="B3" s="690"/>
      <c r="C3" s="690"/>
      <c r="D3" s="690"/>
      <c r="E3" s="690"/>
    </row>
    <row r="4" spans="1:5" ht="15.6" x14ac:dyDescent="0.3">
      <c r="A4" s="214"/>
      <c r="B4" s="375"/>
      <c r="C4" s="375"/>
      <c r="D4" s="375"/>
      <c r="E4" s="375"/>
    </row>
    <row r="5" spans="1:5" ht="15.6" x14ac:dyDescent="0.3">
      <c r="A5" s="303" t="s">
        <v>225</v>
      </c>
      <c r="B5" s="691" t="s">
        <v>461</v>
      </c>
      <c r="C5" s="691"/>
      <c r="D5" s="691"/>
      <c r="E5" s="691"/>
    </row>
    <row r="6" spans="1:5" ht="15.6" x14ac:dyDescent="0.3">
      <c r="A6" s="216" t="s">
        <v>172</v>
      </c>
      <c r="B6" s="692" t="s">
        <v>633</v>
      </c>
      <c r="C6" s="692"/>
      <c r="D6" s="692"/>
      <c r="E6" s="692"/>
    </row>
    <row r="7" spans="1:5" ht="15.6" x14ac:dyDescent="0.3">
      <c r="A7" s="216" t="s">
        <v>225</v>
      </c>
      <c r="B7" s="687" t="s">
        <v>107</v>
      </c>
      <c r="C7" s="687"/>
      <c r="D7" s="687"/>
      <c r="E7" s="687"/>
    </row>
    <row r="8" spans="1:5" ht="16.2" thickBot="1" x14ac:dyDescent="0.35">
      <c r="A8" s="304" t="s">
        <v>225</v>
      </c>
      <c r="B8" s="243" t="s">
        <v>108</v>
      </c>
      <c r="C8" s="243" t="s">
        <v>109</v>
      </c>
      <c r="D8" s="243" t="s">
        <v>108</v>
      </c>
      <c r="E8" s="243" t="s">
        <v>109</v>
      </c>
    </row>
    <row r="9" spans="1:5" x14ac:dyDescent="0.3">
      <c r="A9" s="92" t="s">
        <v>235</v>
      </c>
      <c r="B9" s="376">
        <v>32697846.75</v>
      </c>
      <c r="C9" s="376">
        <v>421133.65</v>
      </c>
      <c r="D9" s="376">
        <v>3877125.49</v>
      </c>
      <c r="E9" s="376">
        <v>36153838.590000004</v>
      </c>
    </row>
    <row r="10" spans="1:5" x14ac:dyDescent="0.3">
      <c r="A10" s="356" t="s">
        <v>236</v>
      </c>
      <c r="B10" s="377">
        <v>23635778.050000001</v>
      </c>
      <c r="C10" s="377">
        <v>421133.65</v>
      </c>
      <c r="D10" s="377">
        <v>953745.49</v>
      </c>
      <c r="E10" s="377">
        <v>24168389.890000001</v>
      </c>
    </row>
    <row r="11" spans="1:5" x14ac:dyDescent="0.3">
      <c r="A11" s="356" t="s">
        <v>237</v>
      </c>
      <c r="B11" s="377">
        <v>256800</v>
      </c>
      <c r="C11" s="377"/>
      <c r="D11" s="377"/>
      <c r="E11" s="377">
        <v>256800</v>
      </c>
    </row>
    <row r="12" spans="1:5" x14ac:dyDescent="0.3">
      <c r="A12" s="356" t="s">
        <v>384</v>
      </c>
      <c r="B12" s="377">
        <v>8805268.6999999993</v>
      </c>
      <c r="C12" s="377"/>
      <c r="D12" s="377">
        <v>2923380</v>
      </c>
      <c r="E12" s="377">
        <v>11728648.699999999</v>
      </c>
    </row>
    <row r="13" spans="1:5" x14ac:dyDescent="0.3">
      <c r="A13" s="92" t="s">
        <v>238</v>
      </c>
      <c r="B13" s="378">
        <v>4672513.1500000004</v>
      </c>
      <c r="C13" s="378">
        <v>8286389.3499999996</v>
      </c>
      <c r="D13" s="378">
        <v>14689782.039999999</v>
      </c>
      <c r="E13" s="378">
        <v>1730879.54</v>
      </c>
    </row>
    <row r="14" spans="1:5" x14ac:dyDescent="0.3">
      <c r="A14" s="356" t="s">
        <v>341</v>
      </c>
      <c r="B14" s="377">
        <v>186864.2</v>
      </c>
      <c r="C14" s="377">
        <v>1329048.8</v>
      </c>
      <c r="D14" s="377">
        <v>1275410.8799999999</v>
      </c>
      <c r="E14" s="377">
        <v>240502.12</v>
      </c>
    </row>
    <row r="15" spans="1:5" x14ac:dyDescent="0.3">
      <c r="A15" s="356" t="s">
        <v>239</v>
      </c>
      <c r="B15" s="377">
        <v>1135818.05</v>
      </c>
      <c r="C15" s="377">
        <v>1166556.55</v>
      </c>
      <c r="D15" s="377">
        <v>363259</v>
      </c>
      <c r="E15" s="377">
        <v>332520.5</v>
      </c>
    </row>
    <row r="16" spans="1:5" x14ac:dyDescent="0.3">
      <c r="A16" s="356" t="s">
        <v>240</v>
      </c>
      <c r="B16" s="377">
        <v>5639970</v>
      </c>
      <c r="C16" s="377">
        <v>5785534</v>
      </c>
      <c r="D16" s="377">
        <v>13008839</v>
      </c>
      <c r="E16" s="377">
        <v>1583335</v>
      </c>
    </row>
    <row r="17" spans="1:5" x14ac:dyDescent="0.3">
      <c r="A17" s="356" t="s">
        <v>241</v>
      </c>
      <c r="B17" s="377">
        <v>18503</v>
      </c>
      <c r="C17" s="377">
        <v>4250</v>
      </c>
      <c r="D17" s="377">
        <v>41273.160000000003</v>
      </c>
      <c r="E17" s="377">
        <v>55526.16</v>
      </c>
    </row>
    <row r="18" spans="1:5" x14ac:dyDescent="0.3">
      <c r="A18" s="356" t="s">
        <v>712</v>
      </c>
      <c r="B18" s="377"/>
      <c r="C18" s="377">
        <v>1000</v>
      </c>
      <c r="D18" s="377">
        <v>1000</v>
      </c>
      <c r="E18" s="377"/>
    </row>
    <row r="19" spans="1:5" x14ac:dyDescent="0.3">
      <c r="A19" s="92" t="s">
        <v>242</v>
      </c>
      <c r="B19" s="378">
        <v>9046106.3000000007</v>
      </c>
      <c r="C19" s="378">
        <v>8419116.0199999996</v>
      </c>
      <c r="D19" s="378">
        <v>1075586.43</v>
      </c>
      <c r="E19" s="378">
        <v>16389635.890000001</v>
      </c>
    </row>
    <row r="20" spans="1:5" x14ac:dyDescent="0.3">
      <c r="A20" s="356" t="s">
        <v>397</v>
      </c>
      <c r="B20" s="377">
        <v>8502071.5999999996</v>
      </c>
      <c r="C20" s="377"/>
      <c r="D20" s="377"/>
      <c r="E20" s="377">
        <v>8502071.5999999996</v>
      </c>
    </row>
    <row r="21" spans="1:5" x14ac:dyDescent="0.3">
      <c r="A21" s="356" t="s">
        <v>181</v>
      </c>
      <c r="B21" s="377">
        <v>125320.19</v>
      </c>
      <c r="C21" s="377">
        <v>220750</v>
      </c>
      <c r="D21" s="377">
        <v>22789.67</v>
      </c>
      <c r="E21" s="377">
        <v>323280.52</v>
      </c>
    </row>
    <row r="22" spans="1:5" x14ac:dyDescent="0.3">
      <c r="A22" s="356" t="s">
        <v>456</v>
      </c>
      <c r="B22" s="377">
        <v>165458.99</v>
      </c>
      <c r="C22" s="377"/>
      <c r="D22" s="377">
        <v>24818.85</v>
      </c>
      <c r="E22" s="377">
        <v>140640.14000000001</v>
      </c>
    </row>
    <row r="23" spans="1:5" x14ac:dyDescent="0.3">
      <c r="A23" s="356" t="s">
        <v>162</v>
      </c>
      <c r="B23" s="377">
        <v>2997.16</v>
      </c>
      <c r="C23" s="377">
        <v>66399</v>
      </c>
      <c r="D23" s="377">
        <v>5232.8599999999997</v>
      </c>
      <c r="E23" s="377">
        <v>64163.3</v>
      </c>
    </row>
    <row r="24" spans="1:5" x14ac:dyDescent="0.3">
      <c r="A24" s="356" t="s">
        <v>163</v>
      </c>
      <c r="B24" s="377">
        <v>8504.94</v>
      </c>
      <c r="C24" s="377">
        <v>5200</v>
      </c>
      <c r="D24" s="377">
        <v>1575.99</v>
      </c>
      <c r="E24" s="377">
        <v>12128.95</v>
      </c>
    </row>
    <row r="25" spans="1:5" x14ac:dyDescent="0.3">
      <c r="A25" s="356" t="s">
        <v>243</v>
      </c>
      <c r="B25" s="377">
        <v>39224.550000000003</v>
      </c>
      <c r="C25" s="377"/>
      <c r="D25" s="377">
        <v>9806.14</v>
      </c>
      <c r="E25" s="377">
        <v>29418.41</v>
      </c>
    </row>
    <row r="26" spans="1:5" x14ac:dyDescent="0.3">
      <c r="A26" s="356" t="s">
        <v>244</v>
      </c>
      <c r="B26" s="377">
        <v>4638.95</v>
      </c>
      <c r="C26" s="377"/>
      <c r="D26" s="377">
        <v>463.9</v>
      </c>
      <c r="E26" s="377">
        <v>4175.05</v>
      </c>
    </row>
    <row r="27" spans="1:5" x14ac:dyDescent="0.3">
      <c r="A27" s="356" t="s">
        <v>245</v>
      </c>
      <c r="B27" s="377">
        <v>8369.08</v>
      </c>
      <c r="C27" s="377"/>
      <c r="D27" s="377">
        <v>2092.27</v>
      </c>
      <c r="E27" s="377">
        <v>6276.81</v>
      </c>
    </row>
    <row r="28" spans="1:5" x14ac:dyDescent="0.3">
      <c r="A28" s="356" t="s">
        <v>398</v>
      </c>
      <c r="B28" s="377">
        <v>8221.2999999999993</v>
      </c>
      <c r="C28" s="377">
        <v>1000</v>
      </c>
      <c r="D28" s="377">
        <v>1294.8399999999999</v>
      </c>
      <c r="E28" s="377">
        <v>7926.46</v>
      </c>
    </row>
    <row r="29" spans="1:5" x14ac:dyDescent="0.3">
      <c r="A29" s="356" t="s">
        <v>448</v>
      </c>
      <c r="B29" s="377">
        <v>4581.42</v>
      </c>
      <c r="C29" s="377"/>
      <c r="D29" s="377">
        <v>687.21</v>
      </c>
      <c r="E29" s="377">
        <v>3894.21</v>
      </c>
    </row>
    <row r="30" spans="1:5" x14ac:dyDescent="0.3">
      <c r="A30" s="356" t="s">
        <v>545</v>
      </c>
      <c r="B30" s="377">
        <v>4735.2299999999996</v>
      </c>
      <c r="C30" s="377"/>
      <c r="D30" s="377">
        <v>710.28</v>
      </c>
      <c r="E30" s="377">
        <v>4024.95</v>
      </c>
    </row>
    <row r="31" spans="1:5" x14ac:dyDescent="0.3">
      <c r="A31" s="356" t="s">
        <v>246</v>
      </c>
      <c r="B31" s="377">
        <v>171982.89</v>
      </c>
      <c r="C31" s="377">
        <v>16000</v>
      </c>
      <c r="D31" s="377">
        <v>17316.650000000001</v>
      </c>
      <c r="E31" s="377">
        <v>170666.23999999999</v>
      </c>
    </row>
    <row r="32" spans="1:5" x14ac:dyDescent="0.3">
      <c r="A32" s="356" t="s">
        <v>713</v>
      </c>
      <c r="B32" s="377"/>
      <c r="C32" s="377">
        <v>8109767.0199999996</v>
      </c>
      <c r="D32" s="377">
        <v>988797.77</v>
      </c>
      <c r="E32" s="377">
        <v>7120969.25</v>
      </c>
    </row>
    <row r="33" spans="1:5" x14ac:dyDescent="0.3">
      <c r="A33" s="92" t="s">
        <v>247</v>
      </c>
      <c r="B33" s="378">
        <v>19206091.23</v>
      </c>
      <c r="C33" s="378">
        <v>2023390.06</v>
      </c>
      <c r="D33" s="378">
        <v>2086775.35</v>
      </c>
      <c r="E33" s="378">
        <v>19142705.940000001</v>
      </c>
    </row>
    <row r="34" spans="1:5" x14ac:dyDescent="0.3">
      <c r="A34" s="356" t="s">
        <v>714</v>
      </c>
      <c r="B34" s="377">
        <v>17153535</v>
      </c>
      <c r="C34" s="377">
        <v>1000394</v>
      </c>
      <c r="D34" s="377">
        <v>2076765</v>
      </c>
      <c r="E34" s="377">
        <v>16077164</v>
      </c>
    </row>
    <row r="35" spans="1:5" x14ac:dyDescent="0.3">
      <c r="A35" s="356" t="s">
        <v>715</v>
      </c>
      <c r="B35" s="377">
        <v>2050036.23</v>
      </c>
      <c r="C35" s="377">
        <v>1022996.06</v>
      </c>
      <c r="D35" s="377">
        <v>10010.35</v>
      </c>
      <c r="E35" s="377">
        <v>3063021.94</v>
      </c>
    </row>
    <row r="36" spans="1:5" x14ac:dyDescent="0.3">
      <c r="A36" s="356" t="s">
        <v>248</v>
      </c>
      <c r="B36" s="377">
        <v>2520</v>
      </c>
      <c r="C36" s="377"/>
      <c r="D36" s="377"/>
      <c r="E36" s="377">
        <v>2520</v>
      </c>
    </row>
    <row r="37" spans="1:5" x14ac:dyDescent="0.3">
      <c r="A37" s="92" t="s">
        <v>249</v>
      </c>
      <c r="B37" s="378">
        <v>226863.93</v>
      </c>
      <c r="C37" s="378">
        <v>22501138.109999999</v>
      </c>
      <c r="D37" s="378">
        <v>19921897.879999999</v>
      </c>
      <c r="E37" s="378">
        <v>2352376.2999999998</v>
      </c>
    </row>
    <row r="38" spans="1:5" x14ac:dyDescent="0.3">
      <c r="A38" s="356" t="s">
        <v>250</v>
      </c>
      <c r="B38" s="377">
        <v>25096.31</v>
      </c>
      <c r="C38" s="377">
        <v>8060</v>
      </c>
      <c r="D38" s="377"/>
      <c r="E38" s="377">
        <v>33156.31</v>
      </c>
    </row>
    <row r="39" spans="1:5" x14ac:dyDescent="0.3">
      <c r="A39" s="356" t="s">
        <v>251</v>
      </c>
      <c r="B39" s="377">
        <v>65000</v>
      </c>
      <c r="C39" s="377">
        <v>1598550</v>
      </c>
      <c r="D39" s="377">
        <v>168000</v>
      </c>
      <c r="E39" s="377">
        <v>1495550</v>
      </c>
    </row>
    <row r="40" spans="1:5" x14ac:dyDescent="0.3">
      <c r="A40" s="356" t="s">
        <v>252</v>
      </c>
      <c r="B40" s="377">
        <v>46861.599999999999</v>
      </c>
      <c r="C40" s="377">
        <v>8246189.3600000003</v>
      </c>
      <c r="D40" s="377">
        <v>8297431.04</v>
      </c>
      <c r="E40" s="377">
        <v>4380.08</v>
      </c>
    </row>
    <row r="41" spans="1:5" x14ac:dyDescent="0.3">
      <c r="A41" s="356" t="s">
        <v>253</v>
      </c>
      <c r="B41" s="377">
        <v>3011</v>
      </c>
      <c r="C41" s="377">
        <v>127000</v>
      </c>
      <c r="D41" s="377">
        <v>127162</v>
      </c>
      <c r="E41" s="377">
        <v>2849</v>
      </c>
    </row>
    <row r="42" spans="1:5" x14ac:dyDescent="0.3">
      <c r="A42" s="356" t="s">
        <v>254</v>
      </c>
      <c r="B42" s="377">
        <v>798325.2</v>
      </c>
      <c r="C42" s="377">
        <v>12289764.539999999</v>
      </c>
      <c r="D42" s="377">
        <v>11202889</v>
      </c>
      <c r="E42" s="377">
        <v>288550.34000000003</v>
      </c>
    </row>
    <row r="43" spans="1:5" x14ac:dyDescent="0.3">
      <c r="A43" s="356" t="s">
        <v>255</v>
      </c>
      <c r="B43" s="377">
        <v>332244.89</v>
      </c>
      <c r="C43" s="377">
        <v>231574.21</v>
      </c>
      <c r="D43" s="377">
        <v>27168.37</v>
      </c>
      <c r="E43" s="377">
        <v>536650.73</v>
      </c>
    </row>
    <row r="44" spans="1:5" x14ac:dyDescent="0.3">
      <c r="A44" s="356" t="s">
        <v>716</v>
      </c>
      <c r="B44" s="377">
        <v>99247.47</v>
      </c>
      <c r="C44" s="377"/>
      <c r="D44" s="377">
        <v>99247.47</v>
      </c>
      <c r="E44" s="377"/>
    </row>
    <row r="45" spans="1:5" x14ac:dyDescent="0.3">
      <c r="A45" s="354" t="s">
        <v>742</v>
      </c>
      <c r="B45" s="378"/>
      <c r="C45" s="378">
        <v>9000</v>
      </c>
      <c r="D45" s="378">
        <v>9000</v>
      </c>
      <c r="E45" s="378"/>
    </row>
    <row r="46" spans="1:5" x14ac:dyDescent="0.3">
      <c r="A46" s="356" t="s">
        <v>717</v>
      </c>
      <c r="B46" s="377"/>
      <c r="C46" s="377">
        <v>9000</v>
      </c>
      <c r="D46" s="377">
        <v>9000</v>
      </c>
      <c r="E46" s="377"/>
    </row>
    <row r="47" spans="1:5" x14ac:dyDescent="0.3">
      <c r="A47" s="92" t="s">
        <v>256</v>
      </c>
      <c r="B47" s="378"/>
      <c r="C47" s="378">
        <v>84014.93</v>
      </c>
      <c r="D47" s="378">
        <v>6632740.3600000003</v>
      </c>
      <c r="E47" s="378">
        <v>6548725.4299999997</v>
      </c>
    </row>
    <row r="48" spans="1:5" x14ac:dyDescent="0.3">
      <c r="A48" s="356" t="s">
        <v>635</v>
      </c>
      <c r="B48" s="377"/>
      <c r="C48" s="377">
        <v>9765</v>
      </c>
      <c r="D48" s="377">
        <v>4753904</v>
      </c>
      <c r="E48" s="377">
        <v>4744139</v>
      </c>
    </row>
    <row r="49" spans="1:5" x14ac:dyDescent="0.3">
      <c r="A49" s="356" t="s">
        <v>636</v>
      </c>
      <c r="B49" s="377"/>
      <c r="C49" s="377">
        <v>11875</v>
      </c>
      <c r="D49" s="377">
        <v>585900</v>
      </c>
      <c r="E49" s="377">
        <v>574025</v>
      </c>
    </row>
    <row r="50" spans="1:5" x14ac:dyDescent="0.3">
      <c r="A50" s="356" t="s">
        <v>637</v>
      </c>
      <c r="B50" s="377"/>
      <c r="C50" s="377"/>
      <c r="D50" s="377">
        <v>61120</v>
      </c>
      <c r="E50" s="377">
        <v>61120</v>
      </c>
    </row>
    <row r="51" spans="1:5" x14ac:dyDescent="0.3">
      <c r="A51" s="356" t="s">
        <v>257</v>
      </c>
      <c r="B51" s="377"/>
      <c r="C51" s="377">
        <v>62374.93</v>
      </c>
      <c r="D51" s="377">
        <v>145918.09</v>
      </c>
      <c r="E51" s="377">
        <v>83543.16</v>
      </c>
    </row>
    <row r="52" spans="1:5" x14ac:dyDescent="0.3">
      <c r="A52" s="356" t="s">
        <v>647</v>
      </c>
      <c r="B52" s="377"/>
      <c r="C52" s="377"/>
      <c r="D52" s="377">
        <v>603</v>
      </c>
      <c r="E52" s="377">
        <v>603</v>
      </c>
    </row>
    <row r="53" spans="1:5" x14ac:dyDescent="0.3">
      <c r="A53" s="356" t="s">
        <v>643</v>
      </c>
      <c r="B53" s="377"/>
      <c r="C53" s="377"/>
      <c r="D53" s="377">
        <v>165497.26999999999</v>
      </c>
      <c r="E53" s="377">
        <v>165497.26999999999</v>
      </c>
    </row>
    <row r="54" spans="1:5" x14ac:dyDescent="0.3">
      <c r="A54" s="356" t="s">
        <v>644</v>
      </c>
      <c r="B54" s="377"/>
      <c r="C54" s="377"/>
      <c r="D54" s="377">
        <v>884476</v>
      </c>
      <c r="E54" s="377">
        <v>884476</v>
      </c>
    </row>
    <row r="55" spans="1:5" x14ac:dyDescent="0.3">
      <c r="A55" s="356" t="s">
        <v>258</v>
      </c>
      <c r="B55" s="377"/>
      <c r="C55" s="377"/>
      <c r="D55" s="377">
        <v>35322</v>
      </c>
      <c r="E55" s="377">
        <v>35322</v>
      </c>
    </row>
    <row r="56" spans="1:5" x14ac:dyDescent="0.3">
      <c r="A56" s="92" t="s">
        <v>259</v>
      </c>
      <c r="B56" s="378"/>
      <c r="C56" s="378">
        <v>6988647.9800000004</v>
      </c>
      <c r="D56" s="378">
        <v>576448.39</v>
      </c>
      <c r="E56" s="378">
        <v>6412199.5899999999</v>
      </c>
    </row>
    <row r="57" spans="1:5" x14ac:dyDescent="0.3">
      <c r="A57" s="356" t="s">
        <v>260</v>
      </c>
      <c r="B57" s="377"/>
      <c r="C57" s="377">
        <v>558352</v>
      </c>
      <c r="D57" s="377"/>
      <c r="E57" s="377">
        <v>558352</v>
      </c>
    </row>
    <row r="58" spans="1:5" x14ac:dyDescent="0.3">
      <c r="A58" s="356" t="s">
        <v>447</v>
      </c>
      <c r="B58" s="377"/>
      <c r="C58" s="377">
        <v>637710</v>
      </c>
      <c r="D58" s="377"/>
      <c r="E58" s="377">
        <v>637710</v>
      </c>
    </row>
    <row r="59" spans="1:5" x14ac:dyDescent="0.3">
      <c r="A59" s="356" t="s">
        <v>280</v>
      </c>
      <c r="B59" s="377"/>
      <c r="C59" s="377">
        <v>6649.35</v>
      </c>
      <c r="D59" s="377">
        <v>500.39</v>
      </c>
      <c r="E59" s="377">
        <v>6148.96</v>
      </c>
    </row>
    <row r="60" spans="1:5" x14ac:dyDescent="0.3">
      <c r="A60" s="356" t="s">
        <v>168</v>
      </c>
      <c r="B60" s="377"/>
      <c r="C60" s="377">
        <v>410108</v>
      </c>
      <c r="D60" s="377">
        <v>115600</v>
      </c>
      <c r="E60" s="377">
        <v>294508</v>
      </c>
    </row>
    <row r="61" spans="1:5" x14ac:dyDescent="0.3">
      <c r="A61" s="356" t="s">
        <v>169</v>
      </c>
      <c r="B61" s="377"/>
      <c r="C61" s="377">
        <v>2316533.6</v>
      </c>
      <c r="D61" s="377">
        <v>83862</v>
      </c>
      <c r="E61" s="377">
        <v>2232671.6</v>
      </c>
    </row>
    <row r="62" spans="1:5" x14ac:dyDescent="0.3">
      <c r="A62" s="356" t="s">
        <v>718</v>
      </c>
      <c r="B62" s="377"/>
      <c r="C62" s="377">
        <v>12659</v>
      </c>
      <c r="D62" s="377">
        <v>12659</v>
      </c>
      <c r="E62" s="377"/>
    </row>
    <row r="63" spans="1:5" x14ac:dyDescent="0.3">
      <c r="A63" s="356" t="s">
        <v>653</v>
      </c>
      <c r="B63" s="377"/>
      <c r="C63" s="377">
        <v>71990</v>
      </c>
      <c r="D63" s="377"/>
      <c r="E63" s="377">
        <v>71990</v>
      </c>
    </row>
    <row r="64" spans="1:5" x14ac:dyDescent="0.3">
      <c r="A64" s="356" t="s">
        <v>457</v>
      </c>
      <c r="B64" s="377"/>
      <c r="C64" s="377">
        <v>12252</v>
      </c>
      <c r="D64" s="377"/>
      <c r="E64" s="377">
        <v>12252</v>
      </c>
    </row>
    <row r="65" spans="1:5" x14ac:dyDescent="0.3">
      <c r="A65" s="356" t="s">
        <v>30</v>
      </c>
      <c r="B65" s="377"/>
      <c r="C65" s="377">
        <v>34800</v>
      </c>
      <c r="D65" s="377"/>
      <c r="E65" s="377">
        <v>34800</v>
      </c>
    </row>
    <row r="66" spans="1:5" x14ac:dyDescent="0.3">
      <c r="A66" s="356" t="s">
        <v>436</v>
      </c>
      <c r="B66" s="377"/>
      <c r="C66" s="377">
        <v>550</v>
      </c>
      <c r="D66" s="377">
        <v>400</v>
      </c>
      <c r="E66" s="377">
        <v>150</v>
      </c>
    </row>
    <row r="67" spans="1:5" x14ac:dyDescent="0.3">
      <c r="A67" s="356" t="s">
        <v>399</v>
      </c>
      <c r="B67" s="377"/>
      <c r="C67" s="377">
        <v>1464</v>
      </c>
      <c r="D67" s="377"/>
      <c r="E67" s="377">
        <v>1464</v>
      </c>
    </row>
    <row r="68" spans="1:5" x14ac:dyDescent="0.3">
      <c r="A68" s="356" t="s">
        <v>437</v>
      </c>
      <c r="B68" s="377"/>
      <c r="C68" s="377">
        <v>86788.66</v>
      </c>
      <c r="D68" s="377"/>
      <c r="E68" s="377">
        <v>86788.66</v>
      </c>
    </row>
    <row r="69" spans="1:5" x14ac:dyDescent="0.3">
      <c r="A69" s="356" t="s">
        <v>459</v>
      </c>
      <c r="B69" s="377"/>
      <c r="C69" s="377">
        <v>4410</v>
      </c>
      <c r="D69" s="377"/>
      <c r="E69" s="377">
        <v>4410</v>
      </c>
    </row>
    <row r="70" spans="1:5" x14ac:dyDescent="0.3">
      <c r="A70" s="356" t="s">
        <v>261</v>
      </c>
      <c r="B70" s="377"/>
      <c r="C70" s="377">
        <v>183530</v>
      </c>
      <c r="D70" s="377"/>
      <c r="E70" s="377">
        <v>183530</v>
      </c>
    </row>
    <row r="71" spans="1:5" x14ac:dyDescent="0.3">
      <c r="A71" s="356" t="s">
        <v>657</v>
      </c>
      <c r="B71" s="377"/>
      <c r="C71" s="377">
        <v>241516</v>
      </c>
      <c r="D71" s="377"/>
      <c r="E71" s="377">
        <v>241516</v>
      </c>
    </row>
    <row r="72" spans="1:5" x14ac:dyDescent="0.3">
      <c r="A72" s="356" t="s">
        <v>164</v>
      </c>
      <c r="B72" s="377"/>
      <c r="C72" s="377">
        <v>19220</v>
      </c>
      <c r="D72" s="377"/>
      <c r="E72" s="377">
        <v>19220</v>
      </c>
    </row>
    <row r="73" spans="1:5" x14ac:dyDescent="0.3">
      <c r="A73" s="356" t="s">
        <v>400</v>
      </c>
      <c r="B73" s="377"/>
      <c r="C73" s="377">
        <v>83520</v>
      </c>
      <c r="D73" s="377"/>
      <c r="E73" s="377">
        <v>83520</v>
      </c>
    </row>
    <row r="74" spans="1:5" x14ac:dyDescent="0.3">
      <c r="A74" s="356" t="s">
        <v>658</v>
      </c>
      <c r="B74" s="377"/>
      <c r="C74" s="377">
        <v>1860</v>
      </c>
      <c r="D74" s="377"/>
      <c r="E74" s="377">
        <v>1860</v>
      </c>
    </row>
    <row r="75" spans="1:5" x14ac:dyDescent="0.3">
      <c r="A75" s="356" t="s">
        <v>165</v>
      </c>
      <c r="B75" s="377"/>
      <c r="C75" s="377">
        <v>34125</v>
      </c>
      <c r="D75" s="377"/>
      <c r="E75" s="377">
        <v>34125</v>
      </c>
    </row>
    <row r="76" spans="1:5" x14ac:dyDescent="0.3">
      <c r="A76" s="356" t="s">
        <v>719</v>
      </c>
      <c r="B76" s="377"/>
      <c r="C76" s="377">
        <v>8500</v>
      </c>
      <c r="D76" s="377">
        <v>8500</v>
      </c>
      <c r="E76" s="377"/>
    </row>
    <row r="77" spans="1:5" x14ac:dyDescent="0.3">
      <c r="A77" s="356" t="s">
        <v>438</v>
      </c>
      <c r="B77" s="377"/>
      <c r="C77" s="377">
        <v>4366</v>
      </c>
      <c r="D77" s="377"/>
      <c r="E77" s="377">
        <v>4366</v>
      </c>
    </row>
    <row r="78" spans="1:5" x14ac:dyDescent="0.3">
      <c r="A78" s="356" t="s">
        <v>167</v>
      </c>
      <c r="B78" s="377"/>
      <c r="C78" s="377">
        <v>27168.37</v>
      </c>
      <c r="D78" s="377"/>
      <c r="E78" s="377">
        <v>27168.37</v>
      </c>
    </row>
    <row r="79" spans="1:5" x14ac:dyDescent="0.3">
      <c r="A79" s="356" t="s">
        <v>262</v>
      </c>
      <c r="B79" s="377"/>
      <c r="C79" s="377">
        <v>1056</v>
      </c>
      <c r="D79" s="377">
        <v>300</v>
      </c>
      <c r="E79" s="377">
        <v>756</v>
      </c>
    </row>
    <row r="80" spans="1:5" x14ac:dyDescent="0.3">
      <c r="A80" s="356" t="s">
        <v>263</v>
      </c>
      <c r="B80" s="377"/>
      <c r="C80" s="377">
        <v>19277</v>
      </c>
      <c r="D80" s="377">
        <v>22</v>
      </c>
      <c r="E80" s="377">
        <v>19255</v>
      </c>
    </row>
    <row r="81" spans="1:5" x14ac:dyDescent="0.3">
      <c r="A81" s="356" t="s">
        <v>446</v>
      </c>
      <c r="B81" s="377"/>
      <c r="C81" s="377">
        <v>296514</v>
      </c>
      <c r="D81" s="377">
        <v>237829</v>
      </c>
      <c r="E81" s="377">
        <v>58685</v>
      </c>
    </row>
    <row r="82" spans="1:5" x14ac:dyDescent="0.3">
      <c r="A82" s="356" t="s">
        <v>264</v>
      </c>
      <c r="B82" s="377"/>
      <c r="C82" s="377">
        <v>28970</v>
      </c>
      <c r="D82" s="377"/>
      <c r="E82" s="377">
        <v>28970</v>
      </c>
    </row>
    <row r="83" spans="1:5" x14ac:dyDescent="0.3">
      <c r="A83" s="356" t="s">
        <v>661</v>
      </c>
      <c r="B83" s="377"/>
      <c r="C83" s="377">
        <v>296827</v>
      </c>
      <c r="D83" s="377"/>
      <c r="E83" s="377">
        <v>296827</v>
      </c>
    </row>
    <row r="84" spans="1:5" x14ac:dyDescent="0.3">
      <c r="A84" s="356" t="s">
        <v>265</v>
      </c>
      <c r="B84" s="377"/>
      <c r="C84" s="377">
        <v>34222</v>
      </c>
      <c r="D84" s="377"/>
      <c r="E84" s="377">
        <v>34222</v>
      </c>
    </row>
    <row r="85" spans="1:5" x14ac:dyDescent="0.3">
      <c r="A85" s="356" t="s">
        <v>266</v>
      </c>
      <c r="B85" s="377"/>
      <c r="C85" s="377">
        <v>1071796</v>
      </c>
      <c r="D85" s="377">
        <v>116776</v>
      </c>
      <c r="E85" s="377">
        <v>955020</v>
      </c>
    </row>
    <row r="86" spans="1:5" x14ac:dyDescent="0.3">
      <c r="A86" s="356" t="s">
        <v>460</v>
      </c>
      <c r="B86" s="377"/>
      <c r="C86" s="377">
        <v>10016</v>
      </c>
      <c r="D86" s="377"/>
      <c r="E86" s="377">
        <v>10016</v>
      </c>
    </row>
    <row r="87" spans="1:5" x14ac:dyDescent="0.3">
      <c r="A87" s="356" t="s">
        <v>439</v>
      </c>
      <c r="B87" s="377"/>
      <c r="C87" s="377">
        <v>8658</v>
      </c>
      <c r="D87" s="377"/>
      <c r="E87" s="377">
        <v>8658</v>
      </c>
    </row>
    <row r="88" spans="1:5" x14ac:dyDescent="0.3">
      <c r="A88" s="356" t="s">
        <v>267</v>
      </c>
      <c r="B88" s="377"/>
      <c r="C88" s="377">
        <v>463240</v>
      </c>
      <c r="D88" s="377"/>
      <c r="E88" s="377">
        <v>463240</v>
      </c>
    </row>
    <row r="89" spans="1:5" x14ac:dyDescent="0.3">
      <c r="A89" s="92" t="s">
        <v>440</v>
      </c>
      <c r="B89" s="379"/>
      <c r="C89" s="379">
        <v>136525.84</v>
      </c>
      <c r="D89" s="379"/>
      <c r="E89" s="379">
        <v>136525.84</v>
      </c>
    </row>
    <row r="90" spans="1:5" x14ac:dyDescent="0.3">
      <c r="A90" s="374" t="s">
        <v>268</v>
      </c>
      <c r="B90" s="220"/>
      <c r="C90" s="220">
        <v>48869355.939999998</v>
      </c>
      <c r="D90" s="220">
        <v>48869355.939999998</v>
      </c>
      <c r="E90" s="220"/>
    </row>
  </sheetData>
  <mergeCells count="6">
    <mergeCell ref="B7:E7"/>
    <mergeCell ref="A1:E1"/>
    <mergeCell ref="A2:E2"/>
    <mergeCell ref="A3:E3"/>
    <mergeCell ref="B5:E5"/>
    <mergeCell ref="B6:E6"/>
  </mergeCells>
  <pageMargins left="0.47244094488188981" right="0.23622047244094491" top="0.43307086614173229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25" workbookViewId="0">
      <selection activeCell="I35" sqref="I35"/>
    </sheetView>
  </sheetViews>
  <sheetFormatPr defaultColWidth="9.109375" defaultRowHeight="14.4" x14ac:dyDescent="0.25"/>
  <cols>
    <col min="1" max="1" width="50.109375" style="301" bestFit="1" customWidth="1"/>
    <col min="2" max="2" width="15" style="302" bestFit="1" customWidth="1"/>
    <col min="3" max="3" width="14.88671875" style="302" bestFit="1" customWidth="1"/>
    <col min="4" max="4" width="9.109375" style="301"/>
    <col min="5" max="5" width="13.44140625" style="301" bestFit="1" customWidth="1"/>
    <col min="6" max="16384" width="9.109375" style="301"/>
  </cols>
  <sheetData>
    <row r="1" spans="1:5" ht="15.6" x14ac:dyDescent="0.25">
      <c r="A1" s="688" t="s">
        <v>461</v>
      </c>
      <c r="B1" s="688"/>
      <c r="C1" s="688"/>
      <c r="D1" s="300"/>
      <c r="E1" s="300"/>
    </row>
    <row r="2" spans="1:5" ht="15.6" x14ac:dyDescent="0.25">
      <c r="A2" s="688" t="s">
        <v>483</v>
      </c>
      <c r="B2" s="688"/>
      <c r="C2" s="688"/>
      <c r="D2" s="300"/>
      <c r="E2" s="300"/>
    </row>
    <row r="3" spans="1:5" ht="15.6" x14ac:dyDescent="0.25">
      <c r="A3" s="695" t="s">
        <v>632</v>
      </c>
      <c r="B3" s="695"/>
      <c r="C3" s="695"/>
    </row>
    <row r="4" spans="1:5" ht="15.6" x14ac:dyDescent="0.25">
      <c r="A4" s="207"/>
      <c r="B4" s="208"/>
      <c r="C4" s="208"/>
    </row>
    <row r="5" spans="1:5" ht="15.6" x14ac:dyDescent="0.25">
      <c r="A5" s="305"/>
      <c r="B5" s="696" t="s">
        <v>633</v>
      </c>
      <c r="C5" s="696"/>
    </row>
    <row r="6" spans="1:5" ht="15.6" x14ac:dyDescent="0.25">
      <c r="A6" s="306" t="s">
        <v>172</v>
      </c>
      <c r="B6" s="693" t="s">
        <v>107</v>
      </c>
      <c r="C6" s="694"/>
    </row>
    <row r="7" spans="1:5" ht="16.2" thickBot="1" x14ac:dyDescent="0.3">
      <c r="A7" s="307" t="s">
        <v>225</v>
      </c>
      <c r="B7" s="209" t="s">
        <v>108</v>
      </c>
      <c r="C7" s="209" t="s">
        <v>109</v>
      </c>
    </row>
    <row r="8" spans="1:5" x14ac:dyDescent="0.25">
      <c r="A8" s="323" t="s">
        <v>462</v>
      </c>
      <c r="B8" s="319"/>
      <c r="C8" s="319"/>
    </row>
    <row r="9" spans="1:5" x14ac:dyDescent="0.25">
      <c r="A9" s="320" t="s">
        <v>401</v>
      </c>
      <c r="B9" s="321"/>
      <c r="C9" s="321">
        <v>11496</v>
      </c>
    </row>
    <row r="10" spans="1:5" x14ac:dyDescent="0.25">
      <c r="A10" s="320" t="s">
        <v>402</v>
      </c>
      <c r="B10" s="321"/>
      <c r="C10" s="321">
        <v>1424</v>
      </c>
    </row>
    <row r="11" spans="1:5" x14ac:dyDescent="0.25">
      <c r="A11" s="320" t="s">
        <v>403</v>
      </c>
      <c r="B11" s="321"/>
      <c r="C11" s="321">
        <v>10704</v>
      </c>
    </row>
    <row r="12" spans="1:5" x14ac:dyDescent="0.25">
      <c r="A12" s="320" t="s">
        <v>567</v>
      </c>
      <c r="B12" s="321"/>
      <c r="C12" s="321">
        <v>2526</v>
      </c>
    </row>
    <row r="13" spans="1:5" x14ac:dyDescent="0.25">
      <c r="A13" s="320" t="s">
        <v>568</v>
      </c>
      <c r="B13" s="321">
        <v>1911</v>
      </c>
      <c r="C13" s="321"/>
    </row>
    <row r="14" spans="1:5" x14ac:dyDescent="0.25">
      <c r="A14" s="320" t="s">
        <v>569</v>
      </c>
      <c r="B14" s="321">
        <v>1677</v>
      </c>
      <c r="C14" s="321"/>
    </row>
    <row r="15" spans="1:5" x14ac:dyDescent="0.25">
      <c r="A15" s="320" t="s">
        <v>463</v>
      </c>
      <c r="B15" s="321">
        <v>2544</v>
      </c>
      <c r="C15" s="321"/>
    </row>
    <row r="16" spans="1:5" x14ac:dyDescent="0.25">
      <c r="A16" s="320" t="s">
        <v>464</v>
      </c>
      <c r="B16" s="321">
        <v>2628</v>
      </c>
      <c r="C16" s="321"/>
    </row>
    <row r="17" spans="1:3" x14ac:dyDescent="0.25">
      <c r="A17" s="320" t="s">
        <v>570</v>
      </c>
      <c r="B17" s="321">
        <v>3193</v>
      </c>
      <c r="C17" s="321"/>
    </row>
    <row r="18" spans="1:3" x14ac:dyDescent="0.25">
      <c r="A18" s="320" t="s">
        <v>404</v>
      </c>
      <c r="B18" s="321"/>
      <c r="C18" s="321">
        <v>22654</v>
      </c>
    </row>
    <row r="19" spans="1:3" x14ac:dyDescent="0.25">
      <c r="A19" s="320" t="s">
        <v>405</v>
      </c>
      <c r="B19" s="321"/>
      <c r="C19" s="321">
        <v>23428</v>
      </c>
    </row>
    <row r="20" spans="1:3" x14ac:dyDescent="0.25">
      <c r="A20" s="320" t="s">
        <v>406</v>
      </c>
      <c r="B20" s="321">
        <v>2109</v>
      </c>
      <c r="C20" s="321"/>
    </row>
    <row r="21" spans="1:3" x14ac:dyDescent="0.25">
      <c r="A21" s="323" t="s">
        <v>465</v>
      </c>
      <c r="B21" s="322"/>
      <c r="C21" s="322"/>
    </row>
    <row r="22" spans="1:3" x14ac:dyDescent="0.25">
      <c r="A22" s="320" t="s">
        <v>407</v>
      </c>
      <c r="B22" s="321"/>
      <c r="C22" s="321">
        <v>6013</v>
      </c>
    </row>
    <row r="23" spans="1:3" x14ac:dyDescent="0.25">
      <c r="A23" s="320" t="s">
        <v>571</v>
      </c>
      <c r="B23" s="321">
        <v>30630</v>
      </c>
      <c r="C23" s="321"/>
    </row>
    <row r="24" spans="1:3" x14ac:dyDescent="0.25">
      <c r="A24" s="320" t="s">
        <v>572</v>
      </c>
      <c r="B24" s="321"/>
      <c r="C24" s="321">
        <v>10105</v>
      </c>
    </row>
    <row r="25" spans="1:3" x14ac:dyDescent="0.25">
      <c r="A25" s="320" t="s">
        <v>573</v>
      </c>
      <c r="B25" s="321"/>
      <c r="C25" s="321">
        <v>2738</v>
      </c>
    </row>
    <row r="26" spans="1:3" x14ac:dyDescent="0.25">
      <c r="A26" s="320" t="s">
        <v>302</v>
      </c>
      <c r="B26" s="321"/>
      <c r="C26" s="321">
        <v>18943</v>
      </c>
    </row>
    <row r="27" spans="1:3" x14ac:dyDescent="0.25">
      <c r="A27" s="320" t="s">
        <v>574</v>
      </c>
      <c r="B27" s="321"/>
      <c r="C27" s="321">
        <v>2902</v>
      </c>
    </row>
    <row r="28" spans="1:3" x14ac:dyDescent="0.25">
      <c r="A28" s="320" t="s">
        <v>575</v>
      </c>
      <c r="B28" s="321"/>
      <c r="C28" s="321">
        <v>1134</v>
      </c>
    </row>
    <row r="29" spans="1:3" x14ac:dyDescent="0.25">
      <c r="A29" s="320" t="s">
        <v>226</v>
      </c>
      <c r="B29" s="321">
        <v>9591</v>
      </c>
      <c r="C29" s="321"/>
    </row>
    <row r="30" spans="1:3" x14ac:dyDescent="0.25">
      <c r="A30" s="320" t="s">
        <v>576</v>
      </c>
      <c r="B30" s="321"/>
      <c r="C30" s="321">
        <v>546</v>
      </c>
    </row>
    <row r="31" spans="1:3" x14ac:dyDescent="0.25">
      <c r="A31" s="323" t="s">
        <v>466</v>
      </c>
      <c r="B31" s="322"/>
      <c r="C31" s="322"/>
    </row>
    <row r="32" spans="1:3" x14ac:dyDescent="0.25">
      <c r="A32" s="320" t="s">
        <v>303</v>
      </c>
      <c r="B32" s="321"/>
      <c r="C32" s="321">
        <v>987</v>
      </c>
    </row>
    <row r="33" spans="1:3" x14ac:dyDescent="0.25">
      <c r="A33" s="320" t="s">
        <v>426</v>
      </c>
      <c r="B33" s="321"/>
      <c r="C33" s="321">
        <v>16424</v>
      </c>
    </row>
    <row r="34" spans="1:3" x14ac:dyDescent="0.25">
      <c r="A34" s="320" t="s">
        <v>304</v>
      </c>
      <c r="B34" s="321"/>
      <c r="C34" s="321">
        <v>12906</v>
      </c>
    </row>
    <row r="35" spans="1:3" x14ac:dyDescent="0.25">
      <c r="A35" s="320" t="s">
        <v>305</v>
      </c>
      <c r="B35" s="321"/>
      <c r="C35" s="321">
        <v>6543</v>
      </c>
    </row>
    <row r="36" spans="1:3" x14ac:dyDescent="0.25">
      <c r="A36" s="320" t="s">
        <v>427</v>
      </c>
      <c r="B36" s="321">
        <v>639</v>
      </c>
      <c r="C36" s="321"/>
    </row>
    <row r="37" spans="1:3" x14ac:dyDescent="0.25">
      <c r="A37" s="320" t="s">
        <v>428</v>
      </c>
      <c r="B37" s="321"/>
      <c r="C37" s="321">
        <v>944</v>
      </c>
    </row>
    <row r="38" spans="1:3" x14ac:dyDescent="0.25">
      <c r="A38" s="320" t="s">
        <v>577</v>
      </c>
      <c r="B38" s="321"/>
      <c r="C38" s="321">
        <v>2845</v>
      </c>
    </row>
    <row r="39" spans="1:3" x14ac:dyDescent="0.25">
      <c r="A39" s="320" t="s">
        <v>429</v>
      </c>
      <c r="B39" s="321"/>
      <c r="C39" s="321">
        <v>18567</v>
      </c>
    </row>
    <row r="40" spans="1:3" x14ac:dyDescent="0.25">
      <c r="A40" s="320" t="s">
        <v>578</v>
      </c>
      <c r="B40" s="321">
        <v>1994</v>
      </c>
      <c r="C40" s="321"/>
    </row>
    <row r="41" spans="1:3" x14ac:dyDescent="0.25">
      <c r="A41" s="320" t="s">
        <v>408</v>
      </c>
      <c r="B41" s="321"/>
      <c r="C41" s="321">
        <v>6698</v>
      </c>
    </row>
    <row r="42" spans="1:3" x14ac:dyDescent="0.25">
      <c r="A42" s="320" t="s">
        <v>409</v>
      </c>
      <c r="B42" s="321"/>
      <c r="C42" s="321">
        <v>6728</v>
      </c>
    </row>
    <row r="43" spans="1:3" x14ac:dyDescent="0.25">
      <c r="A43" s="320" t="s">
        <v>579</v>
      </c>
      <c r="B43" s="321"/>
      <c r="C43" s="321">
        <v>6960</v>
      </c>
    </row>
    <row r="44" spans="1:3" x14ac:dyDescent="0.25">
      <c r="A44" s="320" t="s">
        <v>410</v>
      </c>
      <c r="B44" s="321"/>
      <c r="C44" s="321">
        <v>6549</v>
      </c>
    </row>
    <row r="45" spans="1:3" x14ac:dyDescent="0.25">
      <c r="A45" s="320" t="s">
        <v>411</v>
      </c>
      <c r="B45" s="321">
        <v>108153</v>
      </c>
      <c r="C45" s="321"/>
    </row>
    <row r="46" spans="1:3" x14ac:dyDescent="0.25">
      <c r="A46" s="320" t="s">
        <v>412</v>
      </c>
      <c r="B46" s="321">
        <v>106825</v>
      </c>
      <c r="C46" s="321"/>
    </row>
    <row r="47" spans="1:3" x14ac:dyDescent="0.25">
      <c r="A47" s="323" t="s">
        <v>467</v>
      </c>
      <c r="B47" s="322"/>
      <c r="C47" s="322"/>
    </row>
    <row r="48" spans="1:3" x14ac:dyDescent="0.25">
      <c r="A48" s="320" t="s">
        <v>306</v>
      </c>
      <c r="B48" s="321"/>
      <c r="C48" s="321">
        <v>391</v>
      </c>
    </row>
    <row r="49" spans="1:3" x14ac:dyDescent="0.25">
      <c r="A49" s="320" t="s">
        <v>307</v>
      </c>
      <c r="B49" s="321"/>
      <c r="C49" s="321">
        <v>13799</v>
      </c>
    </row>
    <row r="50" spans="1:3" x14ac:dyDescent="0.25">
      <c r="A50" s="320" t="s">
        <v>580</v>
      </c>
      <c r="B50" s="321"/>
      <c r="C50" s="321">
        <v>200</v>
      </c>
    </row>
    <row r="51" spans="1:3" x14ac:dyDescent="0.25">
      <c r="A51" s="320" t="s">
        <v>581</v>
      </c>
      <c r="B51" s="321"/>
      <c r="C51" s="321">
        <v>3468</v>
      </c>
    </row>
    <row r="52" spans="1:3" x14ac:dyDescent="0.25">
      <c r="A52" s="320" t="s">
        <v>468</v>
      </c>
      <c r="B52" s="321"/>
      <c r="C52" s="321">
        <v>7285</v>
      </c>
    </row>
    <row r="53" spans="1:3" x14ac:dyDescent="0.25">
      <c r="A53" s="320" t="s">
        <v>430</v>
      </c>
      <c r="B53" s="321"/>
      <c r="C53" s="321">
        <v>11592</v>
      </c>
    </row>
    <row r="54" spans="1:3" x14ac:dyDescent="0.25">
      <c r="A54" s="320" t="s">
        <v>582</v>
      </c>
      <c r="B54" s="321"/>
      <c r="C54" s="321">
        <v>2960</v>
      </c>
    </row>
    <row r="55" spans="1:3" x14ac:dyDescent="0.25">
      <c r="A55" s="320" t="s">
        <v>583</v>
      </c>
      <c r="B55" s="321">
        <v>958</v>
      </c>
      <c r="C55" s="321"/>
    </row>
    <row r="56" spans="1:3" x14ac:dyDescent="0.25">
      <c r="A56" s="320" t="s">
        <v>584</v>
      </c>
      <c r="B56" s="321"/>
      <c r="C56" s="321">
        <v>1297</v>
      </c>
    </row>
    <row r="57" spans="1:3" x14ac:dyDescent="0.25">
      <c r="A57" s="320" t="s">
        <v>413</v>
      </c>
      <c r="B57" s="321"/>
      <c r="C57" s="321">
        <v>24</v>
      </c>
    </row>
    <row r="58" spans="1:3" x14ac:dyDescent="0.25">
      <c r="A58" s="320" t="s">
        <v>585</v>
      </c>
      <c r="B58" s="321"/>
      <c r="C58" s="321">
        <v>16528</v>
      </c>
    </row>
    <row r="59" spans="1:3" x14ac:dyDescent="0.25">
      <c r="A59" s="320" t="s">
        <v>586</v>
      </c>
      <c r="B59" s="321">
        <v>1334</v>
      </c>
      <c r="C59" s="321"/>
    </row>
    <row r="60" spans="1:3" x14ac:dyDescent="0.25">
      <c r="A60" s="320" t="s">
        <v>587</v>
      </c>
      <c r="B60" s="321"/>
      <c r="C60" s="321">
        <v>1502</v>
      </c>
    </row>
    <row r="61" spans="1:3" x14ac:dyDescent="0.25">
      <c r="A61" s="320" t="s">
        <v>588</v>
      </c>
      <c r="B61" s="321"/>
      <c r="C61" s="321">
        <v>6100</v>
      </c>
    </row>
    <row r="62" spans="1:3" x14ac:dyDescent="0.25">
      <c r="A62" s="323" t="s">
        <v>469</v>
      </c>
      <c r="B62" s="322"/>
      <c r="C62" s="322"/>
    </row>
    <row r="63" spans="1:3" x14ac:dyDescent="0.25">
      <c r="A63" s="320" t="s">
        <v>589</v>
      </c>
      <c r="B63" s="321">
        <v>2627</v>
      </c>
      <c r="C63" s="321"/>
    </row>
    <row r="64" spans="1:3" x14ac:dyDescent="0.25">
      <c r="A64" s="320" t="s">
        <v>590</v>
      </c>
      <c r="B64" s="321">
        <v>2826</v>
      </c>
      <c r="C64" s="321"/>
    </row>
    <row r="65" spans="1:3" x14ac:dyDescent="0.25">
      <c r="A65" s="320" t="s">
        <v>431</v>
      </c>
      <c r="B65" s="321"/>
      <c r="C65" s="321">
        <v>134</v>
      </c>
    </row>
    <row r="66" spans="1:3" x14ac:dyDescent="0.25">
      <c r="A66" s="320" t="s">
        <v>591</v>
      </c>
      <c r="B66" s="321"/>
      <c r="C66" s="321">
        <v>4663</v>
      </c>
    </row>
    <row r="67" spans="1:3" x14ac:dyDescent="0.25">
      <c r="A67" s="320" t="s">
        <v>308</v>
      </c>
      <c r="B67" s="321">
        <v>75002.559999999998</v>
      </c>
      <c r="C67" s="321"/>
    </row>
    <row r="68" spans="1:3" x14ac:dyDescent="0.25">
      <c r="A68" s="320" t="s">
        <v>470</v>
      </c>
      <c r="B68" s="321">
        <v>3759</v>
      </c>
      <c r="C68" s="321"/>
    </row>
    <row r="69" spans="1:3" x14ac:dyDescent="0.25">
      <c r="A69" s="320" t="s">
        <v>227</v>
      </c>
      <c r="B69" s="321">
        <v>3813</v>
      </c>
      <c r="C69" s="321"/>
    </row>
    <row r="70" spans="1:3" x14ac:dyDescent="0.25">
      <c r="A70" s="320" t="s">
        <v>592</v>
      </c>
      <c r="B70" s="321"/>
      <c r="C70" s="321">
        <v>98</v>
      </c>
    </row>
    <row r="71" spans="1:3" x14ac:dyDescent="0.25">
      <c r="A71" s="320" t="s">
        <v>228</v>
      </c>
      <c r="B71" s="321"/>
      <c r="C71" s="321">
        <v>19374</v>
      </c>
    </row>
    <row r="72" spans="1:3" x14ac:dyDescent="0.25">
      <c r="A72" s="320" t="s">
        <v>309</v>
      </c>
      <c r="B72" s="321"/>
      <c r="C72" s="321">
        <v>12929</v>
      </c>
    </row>
    <row r="73" spans="1:3" x14ac:dyDescent="0.25">
      <c r="A73" s="320" t="s">
        <v>593</v>
      </c>
      <c r="B73" s="321"/>
      <c r="C73" s="321">
        <v>6558</v>
      </c>
    </row>
    <row r="74" spans="1:3" x14ac:dyDescent="0.25">
      <c r="A74" s="320" t="s">
        <v>594</v>
      </c>
      <c r="B74" s="321"/>
      <c r="C74" s="321">
        <v>186</v>
      </c>
    </row>
    <row r="75" spans="1:3" x14ac:dyDescent="0.25">
      <c r="A75" s="320" t="s">
        <v>595</v>
      </c>
      <c r="B75" s="321">
        <v>3396</v>
      </c>
      <c r="C75" s="321"/>
    </row>
    <row r="76" spans="1:3" x14ac:dyDescent="0.25">
      <c r="A76" s="323" t="s">
        <v>471</v>
      </c>
      <c r="B76" s="322"/>
      <c r="C76" s="322"/>
    </row>
    <row r="77" spans="1:3" x14ac:dyDescent="0.25">
      <c r="A77" s="320" t="s">
        <v>596</v>
      </c>
      <c r="B77" s="321"/>
      <c r="C77" s="321">
        <v>1514</v>
      </c>
    </row>
    <row r="78" spans="1:3" x14ac:dyDescent="0.25">
      <c r="A78" s="320" t="s">
        <v>597</v>
      </c>
      <c r="B78" s="321"/>
      <c r="C78" s="321">
        <v>7596</v>
      </c>
    </row>
    <row r="79" spans="1:3" x14ac:dyDescent="0.25">
      <c r="A79" s="320" t="s">
        <v>598</v>
      </c>
      <c r="B79" s="321"/>
      <c r="C79" s="321">
        <v>8253</v>
      </c>
    </row>
    <row r="80" spans="1:3" x14ac:dyDescent="0.25">
      <c r="A80" s="320" t="s">
        <v>414</v>
      </c>
      <c r="B80" s="321"/>
      <c r="C80" s="321">
        <v>6300</v>
      </c>
    </row>
    <row r="81" spans="1:3" x14ac:dyDescent="0.25">
      <c r="A81" s="323" t="s">
        <v>472</v>
      </c>
      <c r="B81" s="322"/>
      <c r="C81" s="322"/>
    </row>
    <row r="82" spans="1:3" x14ac:dyDescent="0.25">
      <c r="A82" s="320" t="s">
        <v>599</v>
      </c>
      <c r="B82" s="321">
        <v>7812</v>
      </c>
      <c r="C82" s="321"/>
    </row>
    <row r="83" spans="1:3" x14ac:dyDescent="0.25">
      <c r="A83" s="320" t="s">
        <v>310</v>
      </c>
      <c r="B83" s="321"/>
      <c r="C83" s="321">
        <v>4987</v>
      </c>
    </row>
    <row r="84" spans="1:3" x14ac:dyDescent="0.25">
      <c r="A84" s="320" t="s">
        <v>415</v>
      </c>
      <c r="B84" s="321"/>
      <c r="C84" s="321">
        <v>8808</v>
      </c>
    </row>
    <row r="85" spans="1:3" x14ac:dyDescent="0.25">
      <c r="A85" s="320" t="s">
        <v>600</v>
      </c>
      <c r="B85" s="321"/>
      <c r="C85" s="321">
        <v>1344</v>
      </c>
    </row>
    <row r="86" spans="1:3" x14ac:dyDescent="0.25">
      <c r="A86" s="320" t="s">
        <v>601</v>
      </c>
      <c r="B86" s="321">
        <v>4723</v>
      </c>
      <c r="C86" s="321"/>
    </row>
    <row r="87" spans="1:3" x14ac:dyDescent="0.25">
      <c r="A87" s="320" t="s">
        <v>602</v>
      </c>
      <c r="B87" s="321"/>
      <c r="C87" s="321">
        <v>3606</v>
      </c>
    </row>
    <row r="88" spans="1:3" x14ac:dyDescent="0.25">
      <c r="A88" s="320" t="s">
        <v>603</v>
      </c>
      <c r="B88" s="321"/>
      <c r="C88" s="321">
        <v>13938</v>
      </c>
    </row>
    <row r="89" spans="1:3" x14ac:dyDescent="0.25">
      <c r="A89" s="323" t="s">
        <v>473</v>
      </c>
      <c r="B89" s="322"/>
      <c r="C89" s="322"/>
    </row>
    <row r="90" spans="1:3" x14ac:dyDescent="0.25">
      <c r="A90" s="320" t="s">
        <v>604</v>
      </c>
      <c r="B90" s="321"/>
      <c r="C90" s="321">
        <v>80286</v>
      </c>
    </row>
    <row r="91" spans="1:3" x14ac:dyDescent="0.25">
      <c r="A91" s="320" t="s">
        <v>311</v>
      </c>
      <c r="B91" s="321"/>
      <c r="C91" s="321">
        <v>13427</v>
      </c>
    </row>
    <row r="92" spans="1:3" x14ac:dyDescent="0.25">
      <c r="A92" s="320" t="s">
        <v>312</v>
      </c>
      <c r="B92" s="321"/>
      <c r="C92" s="321">
        <v>3820</v>
      </c>
    </row>
    <row r="93" spans="1:3" x14ac:dyDescent="0.25">
      <c r="A93" s="320" t="s">
        <v>605</v>
      </c>
      <c r="B93" s="321">
        <v>3551</v>
      </c>
      <c r="C93" s="321"/>
    </row>
    <row r="94" spans="1:3" x14ac:dyDescent="0.25">
      <c r="A94" s="320" t="s">
        <v>313</v>
      </c>
      <c r="B94" s="321"/>
      <c r="C94" s="321">
        <v>13022</v>
      </c>
    </row>
    <row r="95" spans="1:3" x14ac:dyDescent="0.25">
      <c r="A95" s="320" t="s">
        <v>606</v>
      </c>
      <c r="B95" s="321">
        <v>1213</v>
      </c>
      <c r="C95" s="321"/>
    </row>
    <row r="96" spans="1:3" x14ac:dyDescent="0.25">
      <c r="A96" s="320" t="s">
        <v>607</v>
      </c>
      <c r="B96" s="321">
        <v>795</v>
      </c>
      <c r="C96" s="321"/>
    </row>
    <row r="97" spans="1:3" x14ac:dyDescent="0.25">
      <c r="A97" s="323" t="s">
        <v>474</v>
      </c>
      <c r="B97" s="322"/>
      <c r="C97" s="322"/>
    </row>
    <row r="98" spans="1:3" x14ac:dyDescent="0.25">
      <c r="A98" s="320" t="s">
        <v>608</v>
      </c>
      <c r="B98" s="321">
        <v>2404</v>
      </c>
      <c r="C98" s="321"/>
    </row>
    <row r="99" spans="1:3" x14ac:dyDescent="0.25">
      <c r="A99" s="320" t="s">
        <v>314</v>
      </c>
      <c r="B99" s="321"/>
      <c r="C99" s="321">
        <v>5587</v>
      </c>
    </row>
    <row r="100" spans="1:3" x14ac:dyDescent="0.25">
      <c r="A100" s="320" t="s">
        <v>609</v>
      </c>
      <c r="B100" s="321">
        <v>2294</v>
      </c>
      <c r="C100" s="321"/>
    </row>
    <row r="101" spans="1:3" x14ac:dyDescent="0.25">
      <c r="A101" s="320" t="s">
        <v>610</v>
      </c>
      <c r="B101" s="321">
        <v>2235</v>
      </c>
      <c r="C101" s="321"/>
    </row>
    <row r="102" spans="1:3" x14ac:dyDescent="0.25">
      <c r="A102" s="320" t="s">
        <v>611</v>
      </c>
      <c r="B102" s="321">
        <v>3045</v>
      </c>
      <c r="C102" s="321"/>
    </row>
    <row r="103" spans="1:3" x14ac:dyDescent="0.25">
      <c r="A103" s="320" t="s">
        <v>229</v>
      </c>
      <c r="B103" s="321">
        <v>62785.15</v>
      </c>
      <c r="C103" s="321"/>
    </row>
    <row r="104" spans="1:3" x14ac:dyDescent="0.25">
      <c r="A104" s="320" t="s">
        <v>612</v>
      </c>
      <c r="B104" s="321">
        <v>1784</v>
      </c>
      <c r="C104" s="321"/>
    </row>
    <row r="105" spans="1:3" x14ac:dyDescent="0.25">
      <c r="A105" s="320" t="s">
        <v>613</v>
      </c>
      <c r="B105" s="321"/>
      <c r="C105" s="321">
        <v>2591</v>
      </c>
    </row>
    <row r="106" spans="1:3" x14ac:dyDescent="0.25">
      <c r="A106" s="320" t="s">
        <v>614</v>
      </c>
      <c r="B106" s="321">
        <v>1138</v>
      </c>
      <c r="C106" s="321"/>
    </row>
    <row r="107" spans="1:3" x14ac:dyDescent="0.25">
      <c r="A107" s="320" t="s">
        <v>615</v>
      </c>
      <c r="B107" s="321">
        <v>949</v>
      </c>
      <c r="C107" s="321"/>
    </row>
    <row r="108" spans="1:3" x14ac:dyDescent="0.25">
      <c r="A108" s="320" t="s">
        <v>230</v>
      </c>
      <c r="B108" s="321"/>
      <c r="C108" s="321">
        <v>8454</v>
      </c>
    </row>
    <row r="109" spans="1:3" x14ac:dyDescent="0.25">
      <c r="A109" s="320" t="s">
        <v>231</v>
      </c>
      <c r="B109" s="321"/>
      <c r="C109" s="321">
        <v>9279</v>
      </c>
    </row>
    <row r="110" spans="1:3" x14ac:dyDescent="0.25">
      <c r="A110" s="320" t="s">
        <v>232</v>
      </c>
      <c r="B110" s="321"/>
      <c r="C110" s="321">
        <v>9935</v>
      </c>
    </row>
    <row r="111" spans="1:3" x14ac:dyDescent="0.25">
      <c r="A111" s="320" t="s">
        <v>616</v>
      </c>
      <c r="B111" s="321">
        <v>1784</v>
      </c>
      <c r="C111" s="321"/>
    </row>
    <row r="112" spans="1:3" x14ac:dyDescent="0.25">
      <c r="A112" s="320" t="s">
        <v>432</v>
      </c>
      <c r="B112" s="321">
        <v>1035</v>
      </c>
      <c r="C112" s="321"/>
    </row>
    <row r="113" spans="1:3" x14ac:dyDescent="0.25">
      <c r="A113" s="320" t="s">
        <v>433</v>
      </c>
      <c r="B113" s="321">
        <v>970</v>
      </c>
      <c r="C113" s="321"/>
    </row>
    <row r="114" spans="1:3" x14ac:dyDescent="0.25">
      <c r="A114" s="323" t="s">
        <v>475</v>
      </c>
      <c r="B114" s="322"/>
      <c r="C114" s="322"/>
    </row>
    <row r="115" spans="1:3" x14ac:dyDescent="0.25">
      <c r="A115" s="320" t="s">
        <v>617</v>
      </c>
      <c r="B115" s="321">
        <v>434</v>
      </c>
      <c r="C115" s="321"/>
    </row>
    <row r="116" spans="1:3" x14ac:dyDescent="0.25">
      <c r="A116" s="320" t="s">
        <v>618</v>
      </c>
      <c r="B116" s="321"/>
      <c r="C116" s="321">
        <v>14724</v>
      </c>
    </row>
    <row r="117" spans="1:3" x14ac:dyDescent="0.25">
      <c r="A117" s="320" t="s">
        <v>315</v>
      </c>
      <c r="B117" s="321"/>
      <c r="C117" s="321">
        <v>53657.02</v>
      </c>
    </row>
    <row r="118" spans="1:3" x14ac:dyDescent="0.25">
      <c r="A118" s="320" t="s">
        <v>316</v>
      </c>
      <c r="B118" s="321"/>
      <c r="C118" s="321">
        <v>46750.02</v>
      </c>
    </row>
    <row r="119" spans="1:3" x14ac:dyDescent="0.25">
      <c r="A119" s="320" t="s">
        <v>619</v>
      </c>
      <c r="B119" s="321">
        <v>117</v>
      </c>
      <c r="C119" s="321"/>
    </row>
    <row r="120" spans="1:3" x14ac:dyDescent="0.25">
      <c r="A120" s="320" t="s">
        <v>620</v>
      </c>
      <c r="B120" s="321">
        <v>2</v>
      </c>
      <c r="C120" s="321"/>
    </row>
    <row r="121" spans="1:3" x14ac:dyDescent="0.25">
      <c r="A121" s="320" t="s">
        <v>476</v>
      </c>
      <c r="B121" s="321"/>
      <c r="C121" s="321">
        <v>2547</v>
      </c>
    </row>
    <row r="122" spans="1:3" x14ac:dyDescent="0.25">
      <c r="A122" s="320" t="s">
        <v>621</v>
      </c>
      <c r="B122" s="321"/>
      <c r="C122" s="321">
        <v>942</v>
      </c>
    </row>
    <row r="123" spans="1:3" x14ac:dyDescent="0.25">
      <c r="A123" s="320" t="s">
        <v>434</v>
      </c>
      <c r="B123" s="321"/>
      <c r="C123" s="321">
        <v>7584</v>
      </c>
    </row>
    <row r="124" spans="1:3" x14ac:dyDescent="0.25">
      <c r="A124" s="320" t="s">
        <v>622</v>
      </c>
      <c r="B124" s="321"/>
      <c r="C124" s="321">
        <v>10906</v>
      </c>
    </row>
    <row r="125" spans="1:3" x14ac:dyDescent="0.25">
      <c r="A125" s="320" t="s">
        <v>233</v>
      </c>
      <c r="B125" s="321"/>
      <c r="C125" s="321">
        <v>892</v>
      </c>
    </row>
    <row r="126" spans="1:3" x14ac:dyDescent="0.25">
      <c r="A126" s="320" t="s">
        <v>623</v>
      </c>
      <c r="B126" s="321">
        <v>784</v>
      </c>
      <c r="C126" s="321"/>
    </row>
    <row r="127" spans="1:3" x14ac:dyDescent="0.25">
      <c r="A127" s="320" t="s">
        <v>624</v>
      </c>
      <c r="B127" s="321"/>
      <c r="C127" s="321">
        <v>1499</v>
      </c>
    </row>
    <row r="128" spans="1:3" x14ac:dyDescent="0.25">
      <c r="A128" s="320" t="s">
        <v>234</v>
      </c>
      <c r="B128" s="321">
        <v>85842.25</v>
      </c>
      <c r="C128" s="321"/>
    </row>
    <row r="129" spans="1:3" x14ac:dyDescent="0.25">
      <c r="A129" s="323" t="s">
        <v>477</v>
      </c>
      <c r="B129" s="322"/>
      <c r="C129" s="322"/>
    </row>
    <row r="130" spans="1:3" x14ac:dyDescent="0.25">
      <c r="A130" s="320" t="s">
        <v>478</v>
      </c>
      <c r="B130" s="321"/>
      <c r="C130" s="321">
        <v>1000</v>
      </c>
    </row>
    <row r="131" spans="1:3" x14ac:dyDescent="0.25">
      <c r="A131" s="320" t="s">
        <v>479</v>
      </c>
      <c r="B131" s="321"/>
      <c r="C131" s="321">
        <v>7497</v>
      </c>
    </row>
    <row r="132" spans="1:3" x14ac:dyDescent="0.25">
      <c r="A132" s="323" t="s">
        <v>480</v>
      </c>
      <c r="B132" s="322"/>
      <c r="C132" s="322"/>
    </row>
    <row r="133" spans="1:3" x14ac:dyDescent="0.25">
      <c r="A133" s="320" t="s">
        <v>625</v>
      </c>
      <c r="B133" s="321">
        <v>6240</v>
      </c>
      <c r="C133" s="321"/>
    </row>
    <row r="134" spans="1:3" x14ac:dyDescent="0.25">
      <c r="A134" s="320" t="s">
        <v>626</v>
      </c>
      <c r="B134" s="321">
        <v>1252</v>
      </c>
      <c r="C134" s="321"/>
    </row>
    <row r="135" spans="1:3" x14ac:dyDescent="0.25">
      <c r="A135" s="320" t="s">
        <v>317</v>
      </c>
      <c r="B135" s="321"/>
      <c r="C135" s="321">
        <v>31805</v>
      </c>
    </row>
    <row r="136" spans="1:3" x14ac:dyDescent="0.25">
      <c r="A136" s="320" t="s">
        <v>416</v>
      </c>
      <c r="B136" s="321">
        <v>62826</v>
      </c>
      <c r="C136" s="321"/>
    </row>
    <row r="137" spans="1:3" x14ac:dyDescent="0.25">
      <c r="A137" s="320" t="s">
        <v>481</v>
      </c>
      <c r="B137" s="321"/>
      <c r="C137" s="321">
        <v>80</v>
      </c>
    </row>
    <row r="138" spans="1:3" x14ac:dyDescent="0.25">
      <c r="A138" s="320" t="s">
        <v>318</v>
      </c>
      <c r="B138" s="321"/>
      <c r="C138" s="321">
        <v>10061</v>
      </c>
    </row>
    <row r="139" spans="1:3" x14ac:dyDescent="0.25">
      <c r="A139" s="320" t="s">
        <v>417</v>
      </c>
      <c r="B139" s="321">
        <v>56559</v>
      </c>
      <c r="C139" s="321"/>
    </row>
    <row r="140" spans="1:3" x14ac:dyDescent="0.25">
      <c r="A140" s="320" t="s">
        <v>418</v>
      </c>
      <c r="B140" s="321"/>
      <c r="C140" s="321">
        <v>5842</v>
      </c>
    </row>
    <row r="141" spans="1:3" x14ac:dyDescent="0.25">
      <c r="A141" s="320" t="s">
        <v>482</v>
      </c>
      <c r="B141" s="321">
        <v>2469</v>
      </c>
      <c r="C141" s="321"/>
    </row>
    <row r="142" spans="1:3" x14ac:dyDescent="0.25">
      <c r="A142" s="320" t="s">
        <v>627</v>
      </c>
      <c r="B142" s="321">
        <v>1513</v>
      </c>
      <c r="C142" s="321"/>
    </row>
    <row r="143" spans="1:3" x14ac:dyDescent="0.25">
      <c r="A143" s="320" t="s">
        <v>628</v>
      </c>
      <c r="B143" s="321"/>
      <c r="C143" s="321">
        <v>1823</v>
      </c>
    </row>
    <row r="144" spans="1:3" x14ac:dyDescent="0.25">
      <c r="A144" s="320" t="s">
        <v>629</v>
      </c>
      <c r="B144" s="321"/>
      <c r="C144" s="321">
        <v>440</v>
      </c>
    </row>
    <row r="145" spans="1:3" x14ac:dyDescent="0.25">
      <c r="A145" s="320" t="s">
        <v>630</v>
      </c>
      <c r="B145" s="321"/>
      <c r="C145" s="321">
        <v>2320</v>
      </c>
    </row>
    <row r="146" spans="1:3" x14ac:dyDescent="0.25">
      <c r="A146" s="320" t="s">
        <v>631</v>
      </c>
      <c r="B146" s="321">
        <v>23</v>
      </c>
      <c r="C146" s="321"/>
    </row>
    <row r="147" spans="1:3" x14ac:dyDescent="0.25">
      <c r="A147" s="324" t="s">
        <v>268</v>
      </c>
      <c r="B147" s="325">
        <v>682187.96</v>
      </c>
      <c r="C147" s="325">
        <v>712968.04</v>
      </c>
    </row>
  </sheetData>
  <mergeCells count="5">
    <mergeCell ref="B6:C6"/>
    <mergeCell ref="A1:C1"/>
    <mergeCell ref="A3:C3"/>
    <mergeCell ref="B5:C5"/>
    <mergeCell ref="A2:C2"/>
  </mergeCells>
  <pageMargins left="0.70866141732283505" right="0.49" top="0.38" bottom="0.33" header="0.31496062992126" footer="0.17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9"/>
  <sheetViews>
    <sheetView zoomScaleNormal="100" zoomScaleSheetLayoutView="100" workbookViewId="0">
      <selection activeCell="I20" sqref="I20"/>
    </sheetView>
  </sheetViews>
  <sheetFormatPr defaultColWidth="9.109375" defaultRowHeight="14.4" x14ac:dyDescent="0.3"/>
  <cols>
    <col min="1" max="1" width="40.88671875" style="266" customWidth="1"/>
    <col min="2" max="2" width="12.109375" style="298" bestFit="1" customWidth="1"/>
    <col min="3" max="3" width="6.6640625" style="266" bestFit="1" customWidth="1"/>
    <col min="4" max="4" width="4.6640625" style="266" bestFit="1" customWidth="1"/>
    <col min="5" max="5" width="12.109375" style="299" bestFit="1" customWidth="1"/>
    <col min="6" max="6" width="9.109375" style="266"/>
    <col min="7" max="7" width="10.44140625" style="266" bestFit="1" customWidth="1"/>
    <col min="8" max="8" width="28.88671875" style="266" customWidth="1"/>
    <col min="9" max="9" width="12" style="299" bestFit="1" customWidth="1"/>
    <col min="10" max="10" width="16.33203125" style="299" customWidth="1"/>
    <col min="11" max="11" width="12" style="299" bestFit="1" customWidth="1"/>
    <col min="12" max="12" width="17.109375" style="266" customWidth="1"/>
    <col min="13" max="13" width="17.33203125" style="266" customWidth="1"/>
    <col min="14" max="14" width="14.5546875" style="266" customWidth="1"/>
    <col min="15" max="16384" width="9.109375" style="266"/>
  </cols>
  <sheetData>
    <row r="1" spans="1:14" ht="15.6" x14ac:dyDescent="0.3">
      <c r="A1" s="697" t="s">
        <v>461</v>
      </c>
      <c r="B1" s="697"/>
      <c r="C1" s="697"/>
      <c r="D1" s="697"/>
      <c r="E1" s="697"/>
    </row>
    <row r="2" spans="1:14" ht="15.6" x14ac:dyDescent="0.3">
      <c r="A2" s="697" t="s">
        <v>634</v>
      </c>
      <c r="B2" s="697"/>
      <c r="C2" s="697"/>
      <c r="D2" s="697"/>
      <c r="E2" s="697"/>
    </row>
    <row r="4" spans="1:14" x14ac:dyDescent="0.3">
      <c r="A4" s="267"/>
      <c r="B4" s="268"/>
      <c r="C4" s="269"/>
      <c r="D4" s="269"/>
      <c r="E4" s="270"/>
    </row>
    <row r="5" spans="1:14" ht="15" thickBot="1" x14ac:dyDescent="0.35">
      <c r="A5" s="271" t="s">
        <v>174</v>
      </c>
      <c r="B5" s="272"/>
      <c r="C5" s="273"/>
      <c r="D5" s="273"/>
      <c r="E5" s="274" t="s">
        <v>175</v>
      </c>
      <c r="H5" s="382"/>
      <c r="I5" s="383" t="s">
        <v>745</v>
      </c>
      <c r="J5" s="383" t="s">
        <v>749</v>
      </c>
      <c r="K5" s="383" t="s">
        <v>750</v>
      </c>
      <c r="L5" s="384" t="s">
        <v>751</v>
      </c>
      <c r="M5" s="384" t="s">
        <v>752</v>
      </c>
      <c r="N5" s="384" t="s">
        <v>753</v>
      </c>
    </row>
    <row r="6" spans="1:14" x14ac:dyDescent="0.3">
      <c r="A6" s="275"/>
      <c r="B6" s="276"/>
      <c r="E6" s="277"/>
      <c r="H6" s="385" t="s">
        <v>746</v>
      </c>
      <c r="I6" s="386">
        <v>341693</v>
      </c>
      <c r="J6" s="386">
        <v>0</v>
      </c>
      <c r="K6" s="386">
        <f>+E103+E118</f>
        <v>221750</v>
      </c>
      <c r="L6" s="386">
        <f>ROUND((I6+J6)*15%,0)</f>
        <v>51254</v>
      </c>
      <c r="M6" s="386">
        <f>ROUND(K6*7.5%,0)</f>
        <v>16631</v>
      </c>
      <c r="N6" s="387">
        <f>+I6+J6+K6-L6-M6</f>
        <v>495558</v>
      </c>
    </row>
    <row r="7" spans="1:14" x14ac:dyDescent="0.3">
      <c r="A7" s="275" t="s">
        <v>421</v>
      </c>
      <c r="B7" s="276"/>
      <c r="E7" s="278">
        <v>4638.95</v>
      </c>
      <c r="H7" s="385" t="s">
        <v>747</v>
      </c>
      <c r="I7" s="386">
        <f>+BS!G57</f>
        <v>2997.1599999999985</v>
      </c>
      <c r="J7" s="386">
        <f>+E69</f>
        <v>17999</v>
      </c>
      <c r="K7" s="386">
        <f>+E70</f>
        <v>48400</v>
      </c>
      <c r="L7" s="386">
        <f>ROUND((I7+J7)*40%,0)</f>
        <v>8398</v>
      </c>
      <c r="M7" s="386">
        <f>ROUND(K7*20%,0)</f>
        <v>9680</v>
      </c>
      <c r="N7" s="387">
        <f>+I7+J7+K7-L7-M7</f>
        <v>51318.16</v>
      </c>
    </row>
    <row r="8" spans="1:14" x14ac:dyDescent="0.3">
      <c r="A8" s="275"/>
      <c r="B8" s="276"/>
      <c r="E8" s="277"/>
      <c r="H8" s="385" t="s">
        <v>748</v>
      </c>
      <c r="I8" s="386">
        <v>180296</v>
      </c>
      <c r="J8" s="386">
        <f>+E51</f>
        <v>1950</v>
      </c>
      <c r="K8" s="386">
        <f>+E52+E87</f>
        <v>19250</v>
      </c>
      <c r="L8" s="386">
        <f>ROUND((I8+J8)*10%,0)</f>
        <v>18225</v>
      </c>
      <c r="M8" s="386">
        <f>ROUND(K8*5%,0)</f>
        <v>963</v>
      </c>
      <c r="N8" s="387">
        <f>+I8+J8+K8-L8-M8</f>
        <v>182308</v>
      </c>
    </row>
    <row r="9" spans="1:14" ht="15" thickBot="1" x14ac:dyDescent="0.35">
      <c r="A9" s="275" t="s">
        <v>531</v>
      </c>
      <c r="B9" s="276"/>
      <c r="E9" s="277">
        <v>0</v>
      </c>
      <c r="H9" s="388"/>
      <c r="I9" s="389">
        <f t="shared" ref="I9:N9" si="0">SUM(I6:I8)</f>
        <v>524986.15999999992</v>
      </c>
      <c r="J9" s="389">
        <f t="shared" si="0"/>
        <v>19949</v>
      </c>
      <c r="K9" s="389">
        <f t="shared" si="0"/>
        <v>289400</v>
      </c>
      <c r="L9" s="389">
        <f t="shared" si="0"/>
        <v>77877</v>
      </c>
      <c r="M9" s="389">
        <f t="shared" si="0"/>
        <v>27274</v>
      </c>
      <c r="N9" s="389">
        <f t="shared" si="0"/>
        <v>729184.16</v>
      </c>
    </row>
    <row r="10" spans="1:14" ht="15" thickTop="1" x14ac:dyDescent="0.3">
      <c r="A10" s="275"/>
      <c r="B10" s="276"/>
      <c r="E10" s="279">
        <f>+E7+E9</f>
        <v>4638.95</v>
      </c>
    </row>
    <row r="11" spans="1:14" x14ac:dyDescent="0.3">
      <c r="A11" s="275"/>
      <c r="B11" s="276"/>
      <c r="E11" s="277"/>
    </row>
    <row r="12" spans="1:14" x14ac:dyDescent="0.3">
      <c r="A12" s="275" t="s">
        <v>532</v>
      </c>
      <c r="B12" s="276"/>
      <c r="E12" s="277">
        <f>-E15</f>
        <v>-463.9</v>
      </c>
      <c r="L12" s="381"/>
    </row>
    <row r="13" spans="1:14" ht="15" thickBot="1" x14ac:dyDescent="0.35">
      <c r="A13" s="280" t="s">
        <v>93</v>
      </c>
      <c r="B13" s="281"/>
      <c r="E13" s="282">
        <f>+E10+E12</f>
        <v>4175.05</v>
      </c>
      <c r="L13" s="381"/>
    </row>
    <row r="14" spans="1:14" x14ac:dyDescent="0.3">
      <c r="A14" s="275"/>
      <c r="B14" s="276"/>
      <c r="E14" s="277"/>
    </row>
    <row r="15" spans="1:14" ht="15" thickBot="1" x14ac:dyDescent="0.35">
      <c r="A15" s="275" t="s">
        <v>176</v>
      </c>
      <c r="B15" s="276"/>
      <c r="C15" s="283">
        <v>0.1</v>
      </c>
      <c r="E15" s="284">
        <f>ROUND(E10*C15,2)</f>
        <v>463.9</v>
      </c>
    </row>
    <row r="16" spans="1:14" x14ac:dyDescent="0.3">
      <c r="A16" s="285"/>
      <c r="B16" s="286"/>
      <c r="C16" s="287"/>
      <c r="D16" s="287"/>
      <c r="E16" s="288"/>
    </row>
    <row r="17" spans="1:5" x14ac:dyDescent="0.3">
      <c r="A17" s="285"/>
      <c r="B17" s="286"/>
      <c r="C17" s="287"/>
      <c r="D17" s="287"/>
      <c r="E17" s="266"/>
    </row>
    <row r="18" spans="1:5" x14ac:dyDescent="0.3">
      <c r="A18" s="267" t="s">
        <v>177</v>
      </c>
      <c r="B18" s="268"/>
      <c r="C18" s="269"/>
      <c r="D18" s="269"/>
      <c r="E18" s="270"/>
    </row>
    <row r="19" spans="1:5" ht="15" thickBot="1" x14ac:dyDescent="0.35">
      <c r="A19" s="271" t="s">
        <v>166</v>
      </c>
      <c r="B19" s="276"/>
      <c r="E19" s="274" t="s">
        <v>175</v>
      </c>
    </row>
    <row r="20" spans="1:5" x14ac:dyDescent="0.3">
      <c r="A20" s="275"/>
      <c r="B20" s="276"/>
      <c r="E20" s="277"/>
    </row>
    <row r="21" spans="1:5" x14ac:dyDescent="0.3">
      <c r="A21" s="275" t="str">
        <f>A7</f>
        <v>Opening Balance as on 01.04.18</v>
      </c>
      <c r="B21" s="276"/>
      <c r="E21" s="278">
        <v>8369.08</v>
      </c>
    </row>
    <row r="22" spans="1:5" x14ac:dyDescent="0.3">
      <c r="A22" s="275"/>
      <c r="B22" s="276"/>
      <c r="E22" s="277"/>
    </row>
    <row r="23" spans="1:5" x14ac:dyDescent="0.3">
      <c r="A23" s="275" t="s">
        <v>531</v>
      </c>
      <c r="B23" s="276"/>
      <c r="E23" s="277">
        <v>0</v>
      </c>
    </row>
    <row r="24" spans="1:5" x14ac:dyDescent="0.3">
      <c r="A24" s="275"/>
      <c r="B24" s="276"/>
      <c r="E24" s="270">
        <f>SUM(E21:E23)</f>
        <v>8369.08</v>
      </c>
    </row>
    <row r="25" spans="1:5" x14ac:dyDescent="0.3">
      <c r="A25" s="275"/>
      <c r="B25" s="276"/>
      <c r="E25" s="277"/>
    </row>
    <row r="26" spans="1:5" x14ac:dyDescent="0.3">
      <c r="A26" s="275" t="s">
        <v>532</v>
      </c>
      <c r="B26" s="276"/>
      <c r="E26" s="277">
        <f>-E29</f>
        <v>-2092.27</v>
      </c>
    </row>
    <row r="27" spans="1:5" ht="15" thickBot="1" x14ac:dyDescent="0.35">
      <c r="A27" s="280" t="s">
        <v>93</v>
      </c>
      <c r="B27" s="281"/>
      <c r="E27" s="282">
        <f>+E24+E26</f>
        <v>6276.8099999999995</v>
      </c>
    </row>
    <row r="28" spans="1:5" x14ac:dyDescent="0.3">
      <c r="A28" s="275"/>
      <c r="B28" s="276"/>
      <c r="E28" s="278"/>
    </row>
    <row r="29" spans="1:5" ht="15" thickBot="1" x14ac:dyDescent="0.35">
      <c r="A29" s="275" t="s">
        <v>176</v>
      </c>
      <c r="B29" s="276"/>
      <c r="C29" s="283">
        <v>0.25</v>
      </c>
      <c r="E29" s="284">
        <f>ROUND(E24*C29,2)</f>
        <v>2092.27</v>
      </c>
    </row>
    <row r="30" spans="1:5" x14ac:dyDescent="0.3">
      <c r="A30" s="285"/>
      <c r="B30" s="286"/>
      <c r="C30" s="287"/>
      <c r="D30" s="287"/>
      <c r="E30" s="288"/>
    </row>
    <row r="31" spans="1:5" x14ac:dyDescent="0.3">
      <c r="B31" s="276"/>
      <c r="E31" s="289"/>
    </row>
    <row r="32" spans="1:5" x14ac:dyDescent="0.3">
      <c r="A32" s="267"/>
      <c r="B32" s="268"/>
      <c r="C32" s="269"/>
      <c r="D32" s="269"/>
      <c r="E32" s="270"/>
    </row>
    <row r="33" spans="1:7" ht="15" thickBot="1" x14ac:dyDescent="0.35">
      <c r="A33" s="271" t="s">
        <v>178</v>
      </c>
      <c r="B33" s="276"/>
      <c r="E33" s="274" t="s">
        <v>175</v>
      </c>
    </row>
    <row r="34" spans="1:7" x14ac:dyDescent="0.3">
      <c r="A34" s="275"/>
      <c r="B34" s="276"/>
      <c r="E34" s="277"/>
    </row>
    <row r="35" spans="1:7" x14ac:dyDescent="0.3">
      <c r="A35" s="275" t="str">
        <f>A7</f>
        <v>Opening Balance as on 01.04.18</v>
      </c>
      <c r="B35" s="276"/>
      <c r="E35" s="278">
        <v>39224.550000000003</v>
      </c>
    </row>
    <row r="36" spans="1:7" x14ac:dyDescent="0.3">
      <c r="A36" s="275"/>
      <c r="B36" s="276"/>
      <c r="E36" s="277"/>
    </row>
    <row r="37" spans="1:7" x14ac:dyDescent="0.3">
      <c r="A37" s="275" t="s">
        <v>531</v>
      </c>
      <c r="B37" s="290"/>
      <c r="E37" s="277">
        <v>0</v>
      </c>
      <c r="G37" s="291"/>
    </row>
    <row r="38" spans="1:7" x14ac:dyDescent="0.3">
      <c r="A38" s="275"/>
      <c r="B38" s="292"/>
      <c r="E38" s="270">
        <f>SUM(E35:E37)</f>
        <v>39224.550000000003</v>
      </c>
    </row>
    <row r="39" spans="1:7" x14ac:dyDescent="0.3">
      <c r="A39" s="275"/>
      <c r="B39" s="276"/>
      <c r="E39" s="277"/>
    </row>
    <row r="40" spans="1:7" x14ac:dyDescent="0.3">
      <c r="A40" s="275" t="s">
        <v>532</v>
      </c>
      <c r="B40" s="276"/>
      <c r="E40" s="277">
        <f>-E43</f>
        <v>-9806.14</v>
      </c>
    </row>
    <row r="41" spans="1:7" ht="15" thickBot="1" x14ac:dyDescent="0.35">
      <c r="A41" s="280" t="s">
        <v>93</v>
      </c>
      <c r="B41" s="281"/>
      <c r="E41" s="282">
        <f>+E38+E40</f>
        <v>29418.410000000003</v>
      </c>
    </row>
    <row r="42" spans="1:7" x14ac:dyDescent="0.3">
      <c r="A42" s="280"/>
      <c r="B42" s="281"/>
      <c r="E42" s="278"/>
    </row>
    <row r="43" spans="1:7" ht="15" thickBot="1" x14ac:dyDescent="0.35">
      <c r="A43" s="275" t="s">
        <v>176</v>
      </c>
      <c r="B43" s="276"/>
      <c r="C43" s="283">
        <v>0.25</v>
      </c>
      <c r="E43" s="284">
        <f>ROUND(E38*C43,2)</f>
        <v>9806.14</v>
      </c>
    </row>
    <row r="44" spans="1:7" x14ac:dyDescent="0.3">
      <c r="A44" s="285"/>
      <c r="B44" s="286"/>
      <c r="C44" s="287"/>
      <c r="D44" s="287"/>
      <c r="E44" s="288"/>
    </row>
    <row r="45" spans="1:7" x14ac:dyDescent="0.3">
      <c r="B45" s="276"/>
      <c r="E45" s="289"/>
    </row>
    <row r="46" spans="1:7" x14ac:dyDescent="0.3">
      <c r="A46" s="267"/>
      <c r="B46" s="268"/>
      <c r="C46" s="269"/>
      <c r="D46" s="269"/>
      <c r="E46" s="270"/>
    </row>
    <row r="47" spans="1:7" ht="15" thickBot="1" x14ac:dyDescent="0.35">
      <c r="A47" s="271" t="s">
        <v>163</v>
      </c>
      <c r="B47" s="276"/>
      <c r="E47" s="274" t="s">
        <v>175</v>
      </c>
    </row>
    <row r="48" spans="1:7" x14ac:dyDescent="0.3">
      <c r="A48" s="275"/>
      <c r="B48" s="276"/>
      <c r="E48" s="277"/>
    </row>
    <row r="49" spans="1:7" x14ac:dyDescent="0.3">
      <c r="A49" s="275" t="str">
        <f>A7</f>
        <v>Opening Balance as on 01.04.18</v>
      </c>
      <c r="B49" s="276"/>
      <c r="E49" s="278">
        <v>8504.94</v>
      </c>
    </row>
    <row r="50" spans="1:7" x14ac:dyDescent="0.3">
      <c r="A50" s="275"/>
      <c r="B50" s="276"/>
      <c r="E50" s="277"/>
    </row>
    <row r="51" spans="1:7" x14ac:dyDescent="0.3">
      <c r="A51" s="275" t="s">
        <v>531</v>
      </c>
      <c r="B51" s="290">
        <v>44728</v>
      </c>
      <c r="C51" s="266">
        <f>G51-B51</f>
        <v>288</v>
      </c>
      <c r="E51" s="277">
        <v>1950</v>
      </c>
      <c r="G51" s="291">
        <v>45016</v>
      </c>
    </row>
    <row r="52" spans="1:7" x14ac:dyDescent="0.3">
      <c r="A52" s="275"/>
      <c r="B52" s="290">
        <v>44964</v>
      </c>
      <c r="C52" s="266">
        <f>G52-B52</f>
        <v>52</v>
      </c>
      <c r="E52" s="277">
        <v>3250</v>
      </c>
      <c r="G52" s="291">
        <v>45016</v>
      </c>
    </row>
    <row r="53" spans="1:7" x14ac:dyDescent="0.3">
      <c r="A53" s="275"/>
      <c r="B53" s="276"/>
      <c r="E53" s="270">
        <f>SUM(E49:E52)</f>
        <v>13704.94</v>
      </c>
    </row>
    <row r="54" spans="1:7" x14ac:dyDescent="0.3">
      <c r="A54" s="275"/>
      <c r="B54" s="276"/>
      <c r="E54" s="277"/>
    </row>
    <row r="55" spans="1:7" x14ac:dyDescent="0.3">
      <c r="A55" s="275" t="s">
        <v>532</v>
      </c>
      <c r="B55" s="276"/>
      <c r="E55" s="277">
        <f>-E61</f>
        <v>-1575.9875753424658</v>
      </c>
    </row>
    <row r="56" spans="1:7" ht="15" thickBot="1" x14ac:dyDescent="0.35">
      <c r="A56" s="280" t="s">
        <v>93</v>
      </c>
      <c r="B56" s="281"/>
      <c r="E56" s="282">
        <f>+E53+E55</f>
        <v>12128.952424657535</v>
      </c>
    </row>
    <row r="57" spans="1:7" x14ac:dyDescent="0.3">
      <c r="A57" s="275"/>
      <c r="B57" s="291"/>
      <c r="E57" s="278"/>
    </row>
    <row r="58" spans="1:7" x14ac:dyDescent="0.3">
      <c r="A58" s="275"/>
      <c r="B58" s="289">
        <f>E49</f>
        <v>8504.94</v>
      </c>
      <c r="C58" s="266">
        <v>365</v>
      </c>
      <c r="D58" s="266" t="s">
        <v>95</v>
      </c>
      <c r="E58" s="277">
        <f>((B58*$C$61/365)*C58)</f>
        <v>1275.741</v>
      </c>
    </row>
    <row r="59" spans="1:7" x14ac:dyDescent="0.3">
      <c r="A59" s="275"/>
      <c r="B59" s="293">
        <f>E51</f>
        <v>1950</v>
      </c>
      <c r="C59" s="294">
        <f>C51</f>
        <v>288</v>
      </c>
      <c r="D59" s="266" t="s">
        <v>95</v>
      </c>
      <c r="E59" s="277">
        <f>((B59*$C$61/365)*C59)</f>
        <v>230.79452054794521</v>
      </c>
    </row>
    <row r="60" spans="1:7" x14ac:dyDescent="0.3">
      <c r="A60" s="275"/>
      <c r="B60" s="293">
        <f>E52</f>
        <v>3250</v>
      </c>
      <c r="C60" s="294">
        <f>C52</f>
        <v>52</v>
      </c>
      <c r="D60" s="266" t="s">
        <v>95</v>
      </c>
      <c r="E60" s="277">
        <f>((B60*$C$61/365)*C60)</f>
        <v>69.452054794520549</v>
      </c>
    </row>
    <row r="61" spans="1:7" ht="15" thickBot="1" x14ac:dyDescent="0.35">
      <c r="A61" s="275" t="s">
        <v>176</v>
      </c>
      <c r="B61" s="276"/>
      <c r="C61" s="283">
        <v>0.15</v>
      </c>
      <c r="E61" s="284">
        <f>SUM(E58:E60)</f>
        <v>1575.9875753424658</v>
      </c>
    </row>
    <row r="62" spans="1:7" x14ac:dyDescent="0.3">
      <c r="A62" s="285"/>
      <c r="B62" s="286"/>
      <c r="C62" s="287"/>
      <c r="D62" s="287"/>
      <c r="E62" s="288"/>
    </row>
    <row r="63" spans="1:7" x14ac:dyDescent="0.3">
      <c r="B63" s="276"/>
      <c r="E63" s="289"/>
    </row>
    <row r="64" spans="1:7" x14ac:dyDescent="0.3">
      <c r="A64" s="267"/>
      <c r="B64" s="268"/>
      <c r="C64" s="269"/>
      <c r="D64" s="269"/>
      <c r="E64" s="270"/>
    </row>
    <row r="65" spans="1:7" ht="15" thickBot="1" x14ac:dyDescent="0.35">
      <c r="A65" s="271" t="s">
        <v>179</v>
      </c>
      <c r="B65" s="276"/>
      <c r="E65" s="274" t="s">
        <v>175</v>
      </c>
    </row>
    <row r="66" spans="1:7" x14ac:dyDescent="0.3">
      <c r="A66" s="275"/>
      <c r="B66" s="276"/>
      <c r="E66" s="277"/>
    </row>
    <row r="67" spans="1:7" x14ac:dyDescent="0.3">
      <c r="A67" s="275" t="str">
        <f>A7</f>
        <v>Opening Balance as on 01.04.18</v>
      </c>
      <c r="B67" s="276"/>
      <c r="E67" s="278">
        <v>2997.16</v>
      </c>
    </row>
    <row r="68" spans="1:7" x14ac:dyDescent="0.3">
      <c r="A68" s="275"/>
      <c r="B68" s="276"/>
      <c r="E68" s="277"/>
    </row>
    <row r="69" spans="1:7" x14ac:dyDescent="0.3">
      <c r="A69" s="275" t="s">
        <v>531</v>
      </c>
      <c r="B69" s="290">
        <v>44833</v>
      </c>
      <c r="C69" s="266">
        <f>G69-B69</f>
        <v>183</v>
      </c>
      <c r="E69" s="277">
        <v>17999</v>
      </c>
      <c r="G69" s="291">
        <v>45016</v>
      </c>
    </row>
    <row r="70" spans="1:7" x14ac:dyDescent="0.3">
      <c r="A70" s="275"/>
      <c r="B70" s="290">
        <v>45008</v>
      </c>
      <c r="C70" s="266">
        <f>G70-B70</f>
        <v>8</v>
      </c>
      <c r="E70" s="277">
        <v>48400</v>
      </c>
      <c r="G70" s="291">
        <v>45016</v>
      </c>
    </row>
    <row r="71" spans="1:7" x14ac:dyDescent="0.3">
      <c r="A71" s="275"/>
      <c r="B71" s="276"/>
      <c r="E71" s="270">
        <f>SUM(E67:E70)</f>
        <v>69396.160000000003</v>
      </c>
    </row>
    <row r="72" spans="1:7" x14ac:dyDescent="0.3">
      <c r="A72" s="275"/>
      <c r="B72" s="276"/>
      <c r="E72" s="277"/>
    </row>
    <row r="73" spans="1:7" x14ac:dyDescent="0.3">
      <c r="A73" s="275" t="s">
        <v>532</v>
      </c>
      <c r="B73" s="276"/>
      <c r="E73" s="277">
        <f>-E79</f>
        <v>-5232.8552328767119</v>
      </c>
    </row>
    <row r="74" spans="1:7" ht="15" thickBot="1" x14ac:dyDescent="0.35">
      <c r="A74" s="280" t="s">
        <v>93</v>
      </c>
      <c r="B74" s="281"/>
      <c r="E74" s="282">
        <f>+E71+E73</f>
        <v>64163.304767123293</v>
      </c>
    </row>
    <row r="75" spans="1:7" x14ac:dyDescent="0.3">
      <c r="A75" s="280"/>
      <c r="B75" s="281"/>
      <c r="E75" s="278"/>
    </row>
    <row r="76" spans="1:7" x14ac:dyDescent="0.3">
      <c r="A76" s="280"/>
      <c r="B76" s="289">
        <f>E67</f>
        <v>2997.16</v>
      </c>
      <c r="C76" s="266">
        <v>365</v>
      </c>
      <c r="D76" s="266" t="s">
        <v>95</v>
      </c>
      <c r="E76" s="277">
        <f>((B76*$C$76/365)*C79)</f>
        <v>1198.864</v>
      </c>
    </row>
    <row r="77" spans="1:7" x14ac:dyDescent="0.3">
      <c r="A77" s="280"/>
      <c r="B77" s="293">
        <f>E69</f>
        <v>17999</v>
      </c>
      <c r="C77" s="294">
        <f>C69</f>
        <v>183</v>
      </c>
      <c r="D77" s="266" t="s">
        <v>95</v>
      </c>
      <c r="E77" s="277">
        <f>((B77*$C$77/365)*C79)</f>
        <v>3609.6624657534248</v>
      </c>
    </row>
    <row r="78" spans="1:7" x14ac:dyDescent="0.3">
      <c r="A78" s="280"/>
      <c r="B78" s="293">
        <f>E70</f>
        <v>48400</v>
      </c>
      <c r="C78" s="294">
        <f>C70</f>
        <v>8</v>
      </c>
      <c r="D78" s="266" t="s">
        <v>95</v>
      </c>
      <c r="E78" s="277">
        <f>((B78*$C$78/365)*C79)</f>
        <v>424.32876712328772</v>
      </c>
    </row>
    <row r="79" spans="1:7" ht="15" thickBot="1" x14ac:dyDescent="0.35">
      <c r="A79" s="275" t="s">
        <v>176</v>
      </c>
      <c r="B79" s="276"/>
      <c r="C79" s="283">
        <v>0.4</v>
      </c>
      <c r="E79" s="284">
        <f>SUM(E76:E78)</f>
        <v>5232.8552328767119</v>
      </c>
    </row>
    <row r="80" spans="1:7" x14ac:dyDescent="0.3">
      <c r="A80" s="285"/>
      <c r="B80" s="286"/>
      <c r="C80" s="287"/>
      <c r="D80" s="287"/>
      <c r="E80" s="288"/>
    </row>
    <row r="81" spans="1:7" x14ac:dyDescent="0.3">
      <c r="B81" s="276"/>
      <c r="E81" s="289"/>
    </row>
    <row r="82" spans="1:7" x14ac:dyDescent="0.3">
      <c r="A82" s="267"/>
      <c r="B82" s="268"/>
      <c r="C82" s="269"/>
      <c r="D82" s="269"/>
      <c r="E82" s="270"/>
    </row>
    <row r="83" spans="1:7" ht="15" thickBot="1" x14ac:dyDescent="0.35">
      <c r="A83" s="271" t="s">
        <v>180</v>
      </c>
      <c r="B83" s="272"/>
      <c r="C83" s="273"/>
      <c r="D83" s="273"/>
      <c r="E83" s="274" t="s">
        <v>175</v>
      </c>
    </row>
    <row r="84" spans="1:7" x14ac:dyDescent="0.3">
      <c r="A84" s="275"/>
      <c r="B84" s="276"/>
      <c r="E84" s="277"/>
    </row>
    <row r="85" spans="1:7" x14ac:dyDescent="0.3">
      <c r="A85" s="275" t="str">
        <f>A7</f>
        <v>Opening Balance as on 01.04.18</v>
      </c>
      <c r="B85" s="276"/>
      <c r="E85" s="278">
        <v>171982.89</v>
      </c>
    </row>
    <row r="86" spans="1:7" x14ac:dyDescent="0.3">
      <c r="A86" s="275"/>
      <c r="B86" s="276"/>
      <c r="E86" s="277"/>
    </row>
    <row r="87" spans="1:7" x14ac:dyDescent="0.3">
      <c r="A87" s="275" t="s">
        <v>531</v>
      </c>
      <c r="B87" s="291">
        <v>44989</v>
      </c>
      <c r="C87" s="294">
        <f>G87-B87</f>
        <v>27</v>
      </c>
      <c r="E87" s="277">
        <v>16000</v>
      </c>
      <c r="G87" s="291">
        <v>45016</v>
      </c>
    </row>
    <row r="88" spans="1:7" x14ac:dyDescent="0.3">
      <c r="A88" s="275"/>
      <c r="B88" s="276"/>
      <c r="C88" s="294"/>
      <c r="E88" s="270">
        <f>SUM(E85:E87)</f>
        <v>187982.89</v>
      </c>
    </row>
    <row r="89" spans="1:7" x14ac:dyDescent="0.3">
      <c r="A89" s="275"/>
      <c r="B89" s="276"/>
      <c r="E89" s="277"/>
    </row>
    <row r="90" spans="1:7" x14ac:dyDescent="0.3">
      <c r="A90" s="275" t="s">
        <v>532</v>
      </c>
      <c r="B90" s="276"/>
      <c r="E90" s="277">
        <f>-E95</f>
        <v>-17316.645164383561</v>
      </c>
    </row>
    <row r="91" spans="1:7" ht="15" thickBot="1" x14ac:dyDescent="0.35">
      <c r="A91" s="280" t="s">
        <v>93</v>
      </c>
      <c r="B91" s="281"/>
      <c r="E91" s="282">
        <f>+E88+E90</f>
        <v>170666.24483561644</v>
      </c>
    </row>
    <row r="92" spans="1:7" x14ac:dyDescent="0.3">
      <c r="A92" s="280"/>
      <c r="B92" s="281"/>
      <c r="E92" s="278"/>
    </row>
    <row r="93" spans="1:7" x14ac:dyDescent="0.3">
      <c r="A93" s="295"/>
      <c r="B93" s="293">
        <f>E85</f>
        <v>171982.89</v>
      </c>
      <c r="C93" s="294">
        <v>365</v>
      </c>
      <c r="D93" s="266" t="s">
        <v>95</v>
      </c>
      <c r="E93" s="277">
        <f>((B93*$C$95/365)*C93)</f>
        <v>17198.289000000001</v>
      </c>
    </row>
    <row r="94" spans="1:7" x14ac:dyDescent="0.3">
      <c r="A94" s="295"/>
      <c r="B94" s="293">
        <f>E87</f>
        <v>16000</v>
      </c>
      <c r="C94" s="294">
        <f>C87</f>
        <v>27</v>
      </c>
      <c r="D94" s="266" t="s">
        <v>95</v>
      </c>
      <c r="E94" s="277">
        <f>((B94*$C$95/365)*C94)</f>
        <v>118.35616438356163</v>
      </c>
    </row>
    <row r="95" spans="1:7" ht="15" thickBot="1" x14ac:dyDescent="0.35">
      <c r="A95" s="275" t="s">
        <v>176</v>
      </c>
      <c r="B95" s="276"/>
      <c r="C95" s="283">
        <v>0.1</v>
      </c>
      <c r="E95" s="284">
        <f>SUM(E93:E94)</f>
        <v>17316.645164383561</v>
      </c>
    </row>
    <row r="96" spans="1:7" x14ac:dyDescent="0.3">
      <c r="A96" s="285"/>
      <c r="B96" s="286"/>
      <c r="C96" s="287"/>
      <c r="D96" s="287"/>
      <c r="E96" s="288"/>
    </row>
    <row r="97" spans="1:7" x14ac:dyDescent="0.3">
      <c r="B97" s="276"/>
      <c r="E97" s="289"/>
    </row>
    <row r="98" spans="1:7" x14ac:dyDescent="0.3">
      <c r="A98" s="267"/>
      <c r="B98" s="268"/>
      <c r="C98" s="269"/>
      <c r="D98" s="269"/>
      <c r="E98" s="270"/>
    </row>
    <row r="99" spans="1:7" ht="15" thickBot="1" x14ac:dyDescent="0.35">
      <c r="A99" s="271" t="s">
        <v>181</v>
      </c>
      <c r="B99" s="272"/>
      <c r="C99" s="273"/>
      <c r="D99" s="273"/>
      <c r="E99" s="274" t="s">
        <v>175</v>
      </c>
    </row>
    <row r="100" spans="1:7" x14ac:dyDescent="0.3">
      <c r="A100" s="275"/>
      <c r="B100" s="276"/>
      <c r="E100" s="277"/>
    </row>
    <row r="101" spans="1:7" x14ac:dyDescent="0.3">
      <c r="A101" s="275" t="str">
        <f>A7</f>
        <v>Opening Balance as on 01.04.18</v>
      </c>
      <c r="B101" s="276"/>
      <c r="E101" s="278">
        <v>125320.19</v>
      </c>
    </row>
    <row r="102" spans="1:7" x14ac:dyDescent="0.3">
      <c r="A102" s="275"/>
      <c r="B102" s="276"/>
      <c r="E102" s="277"/>
    </row>
    <row r="103" spans="1:7" x14ac:dyDescent="0.3">
      <c r="A103" s="275" t="s">
        <v>531</v>
      </c>
      <c r="B103" s="291">
        <v>44972</v>
      </c>
      <c r="C103" s="294">
        <f>G103-B103</f>
        <v>44</v>
      </c>
      <c r="E103" s="277">
        <v>220750</v>
      </c>
      <c r="G103" s="291">
        <v>45016</v>
      </c>
    </row>
    <row r="104" spans="1:7" x14ac:dyDescent="0.3">
      <c r="A104" s="275"/>
      <c r="B104" s="276"/>
      <c r="E104" s="270">
        <f>SUM(E101:E103)</f>
        <v>346070.19</v>
      </c>
    </row>
    <row r="105" spans="1:7" x14ac:dyDescent="0.3">
      <c r="A105" s="275"/>
      <c r="B105" s="276"/>
      <c r="E105" s="277"/>
    </row>
    <row r="106" spans="1:7" x14ac:dyDescent="0.3">
      <c r="A106" s="275" t="s">
        <v>532</v>
      </c>
      <c r="B106" s="276"/>
      <c r="E106" s="277">
        <f>-E111</f>
        <v>-22789.672335616437</v>
      </c>
    </row>
    <row r="107" spans="1:7" ht="15" thickBot="1" x14ac:dyDescent="0.35">
      <c r="A107" s="280" t="s">
        <v>93</v>
      </c>
      <c r="B107" s="281"/>
      <c r="E107" s="282">
        <f>SUM(E104:E106)</f>
        <v>323280.51766438357</v>
      </c>
    </row>
    <row r="108" spans="1:7" x14ac:dyDescent="0.3">
      <c r="A108" s="280"/>
      <c r="B108" s="281"/>
      <c r="E108" s="278"/>
    </row>
    <row r="109" spans="1:7" x14ac:dyDescent="0.3">
      <c r="A109" s="280"/>
      <c r="B109" s="293">
        <f>E101</f>
        <v>125320.19</v>
      </c>
      <c r="C109" s="294">
        <v>365</v>
      </c>
      <c r="D109" s="266" t="s">
        <v>95</v>
      </c>
      <c r="E109" s="277">
        <f>((B109*$C$109/365)*C111)</f>
        <v>18798.0285</v>
      </c>
    </row>
    <row r="110" spans="1:7" x14ac:dyDescent="0.3">
      <c r="A110" s="280"/>
      <c r="B110" s="293">
        <f>E103</f>
        <v>220750</v>
      </c>
      <c r="C110" s="294">
        <f>C103</f>
        <v>44</v>
      </c>
      <c r="D110" s="266" t="s">
        <v>95</v>
      </c>
      <c r="E110" s="277">
        <f>((B110*$C$110/365)*C111)</f>
        <v>3991.6438356164381</v>
      </c>
    </row>
    <row r="111" spans="1:7" x14ac:dyDescent="0.3">
      <c r="A111" s="285" t="s">
        <v>176</v>
      </c>
      <c r="B111" s="286"/>
      <c r="C111" s="296">
        <v>0.15</v>
      </c>
      <c r="D111" s="287"/>
      <c r="E111" s="297">
        <f>SUM(E109:E110)</f>
        <v>22789.672335616437</v>
      </c>
    </row>
    <row r="113" spans="1:7" x14ac:dyDescent="0.3">
      <c r="A113" s="267"/>
      <c r="B113" s="268"/>
      <c r="C113" s="269"/>
      <c r="D113" s="269"/>
      <c r="E113" s="270"/>
    </row>
    <row r="114" spans="1:7" ht="15" thickBot="1" x14ac:dyDescent="0.35">
      <c r="A114" s="271" t="s">
        <v>391</v>
      </c>
      <c r="B114" s="272"/>
      <c r="C114" s="273"/>
      <c r="D114" s="273"/>
      <c r="E114" s="274" t="s">
        <v>175</v>
      </c>
    </row>
    <row r="115" spans="1:7" x14ac:dyDescent="0.3">
      <c r="A115" s="275"/>
      <c r="B115" s="276"/>
      <c r="E115" s="277"/>
    </row>
    <row r="116" spans="1:7" x14ac:dyDescent="0.3">
      <c r="A116" s="275" t="s">
        <v>421</v>
      </c>
      <c r="B116" s="276"/>
      <c r="E116" s="278">
        <v>8221.2999999999993</v>
      </c>
    </row>
    <row r="117" spans="1:7" x14ac:dyDescent="0.3">
      <c r="A117" s="275"/>
      <c r="B117" s="276"/>
      <c r="E117" s="278"/>
    </row>
    <row r="118" spans="1:7" x14ac:dyDescent="0.3">
      <c r="A118" s="275" t="s">
        <v>531</v>
      </c>
      <c r="B118" s="291">
        <v>44866</v>
      </c>
      <c r="C118" s="294">
        <f>G118-B118</f>
        <v>150</v>
      </c>
      <c r="E118" s="277">
        <v>1000</v>
      </c>
      <c r="G118" s="291">
        <v>45016</v>
      </c>
    </row>
    <row r="119" spans="1:7" x14ac:dyDescent="0.3">
      <c r="A119" s="275"/>
      <c r="B119" s="276"/>
      <c r="E119" s="270">
        <f>SUM(E116:E118)</f>
        <v>9221.2999999999993</v>
      </c>
    </row>
    <row r="120" spans="1:7" x14ac:dyDescent="0.3">
      <c r="A120" s="275"/>
      <c r="B120" s="276"/>
      <c r="E120" s="277"/>
    </row>
    <row r="121" spans="1:7" x14ac:dyDescent="0.3">
      <c r="A121" s="275" t="s">
        <v>532</v>
      </c>
      <c r="B121" s="276"/>
      <c r="E121" s="277">
        <f>-E126</f>
        <v>-1294.8388356164382</v>
      </c>
    </row>
    <row r="122" spans="1:7" ht="15" thickBot="1" x14ac:dyDescent="0.35">
      <c r="A122" s="280" t="s">
        <v>93</v>
      </c>
      <c r="B122" s="281"/>
      <c r="E122" s="282">
        <f>SUM(E119:E121)</f>
        <v>7926.4611643835615</v>
      </c>
    </row>
    <row r="123" spans="1:7" x14ac:dyDescent="0.3">
      <c r="A123" s="295"/>
      <c r="B123" s="281"/>
      <c r="E123" s="277"/>
    </row>
    <row r="124" spans="1:7" x14ac:dyDescent="0.3">
      <c r="A124" s="295"/>
      <c r="B124" s="293">
        <f>E116</f>
        <v>8221.2999999999993</v>
      </c>
      <c r="C124" s="294">
        <v>365</v>
      </c>
      <c r="D124" s="266" t="s">
        <v>95</v>
      </c>
      <c r="E124" s="277">
        <f>((B124*$C$124/365)*C126)</f>
        <v>1233.1949999999999</v>
      </c>
    </row>
    <row r="125" spans="1:7" x14ac:dyDescent="0.3">
      <c r="A125" s="295"/>
      <c r="B125" s="293">
        <f>E118</f>
        <v>1000</v>
      </c>
      <c r="C125" s="294">
        <f>C118</f>
        <v>150</v>
      </c>
      <c r="D125" s="266" t="s">
        <v>95</v>
      </c>
      <c r="E125" s="277">
        <f>((B125*$C$125/365)*C126)</f>
        <v>61.643835616438352</v>
      </c>
    </row>
    <row r="126" spans="1:7" x14ac:dyDescent="0.3">
      <c r="A126" s="275" t="s">
        <v>176</v>
      </c>
      <c r="B126" s="286"/>
      <c r="C126" s="296">
        <v>0.15</v>
      </c>
      <c r="D126" s="287"/>
      <c r="E126" s="297">
        <f>SUM(E124:E125)</f>
        <v>1294.8388356164382</v>
      </c>
    </row>
    <row r="127" spans="1:7" x14ac:dyDescent="0.3">
      <c r="A127" s="285"/>
      <c r="B127" s="286"/>
      <c r="C127" s="287"/>
      <c r="D127" s="287"/>
      <c r="E127" s="288"/>
    </row>
    <row r="129" spans="1:7" x14ac:dyDescent="0.3">
      <c r="A129" s="267"/>
      <c r="B129" s="268"/>
      <c r="C129" s="269"/>
      <c r="D129" s="269"/>
      <c r="E129" s="270"/>
    </row>
    <row r="130" spans="1:7" ht="15" thickBot="1" x14ac:dyDescent="0.35">
      <c r="A130" s="271" t="s">
        <v>448</v>
      </c>
      <c r="B130" s="272"/>
      <c r="C130" s="273"/>
      <c r="D130" s="273"/>
      <c r="E130" s="274" t="s">
        <v>175</v>
      </c>
    </row>
    <row r="131" spans="1:7" x14ac:dyDescent="0.3">
      <c r="A131" s="275"/>
      <c r="B131" s="276"/>
      <c r="E131" s="277"/>
    </row>
    <row r="132" spans="1:7" x14ac:dyDescent="0.3">
      <c r="A132" s="275" t="s">
        <v>449</v>
      </c>
      <c r="B132" s="276"/>
      <c r="E132" s="278">
        <v>4581.42</v>
      </c>
    </row>
    <row r="133" spans="1:7" x14ac:dyDescent="0.3">
      <c r="A133" s="275"/>
      <c r="B133" s="276"/>
      <c r="E133" s="278"/>
    </row>
    <row r="134" spans="1:7" x14ac:dyDescent="0.3">
      <c r="A134" s="275" t="s">
        <v>531</v>
      </c>
      <c r="B134" s="290"/>
      <c r="E134" s="277">
        <v>0</v>
      </c>
      <c r="G134" s="291"/>
    </row>
    <row r="135" spans="1:7" x14ac:dyDescent="0.3">
      <c r="A135" s="275"/>
      <c r="B135" s="276"/>
      <c r="E135" s="270">
        <f>SUM(E132:E134)</f>
        <v>4581.42</v>
      </c>
    </row>
    <row r="136" spans="1:7" x14ac:dyDescent="0.3">
      <c r="A136" s="275"/>
      <c r="B136" s="276"/>
      <c r="E136" s="277"/>
    </row>
    <row r="137" spans="1:7" x14ac:dyDescent="0.3">
      <c r="A137" s="275" t="s">
        <v>532</v>
      </c>
      <c r="B137" s="276"/>
      <c r="E137" s="277">
        <f>-E140</f>
        <v>-687.21</v>
      </c>
    </row>
    <row r="138" spans="1:7" ht="15" thickBot="1" x14ac:dyDescent="0.35">
      <c r="A138" s="280" t="s">
        <v>93</v>
      </c>
      <c r="B138" s="281"/>
      <c r="E138" s="282">
        <f>SUM(E135:E137)</f>
        <v>3894.21</v>
      </c>
    </row>
    <row r="139" spans="1:7" x14ac:dyDescent="0.3">
      <c r="A139" s="295"/>
      <c r="B139" s="281"/>
      <c r="E139" s="277"/>
    </row>
    <row r="140" spans="1:7" ht="15" thickBot="1" x14ac:dyDescent="0.35">
      <c r="A140" s="275" t="s">
        <v>176</v>
      </c>
      <c r="B140" s="276"/>
      <c r="C140" s="283">
        <v>0.15</v>
      </c>
      <c r="E140" s="284">
        <f>ROUND(E135*C140,2)</f>
        <v>687.21</v>
      </c>
    </row>
    <row r="141" spans="1:7" x14ac:dyDescent="0.3">
      <c r="A141" s="285"/>
      <c r="B141" s="286"/>
      <c r="C141" s="287"/>
      <c r="D141" s="287"/>
      <c r="E141" s="288"/>
    </row>
    <row r="143" spans="1:7" x14ac:dyDescent="0.3">
      <c r="A143" s="267"/>
      <c r="B143" s="268"/>
      <c r="C143" s="269"/>
      <c r="D143" s="269"/>
      <c r="E143" s="270"/>
    </row>
    <row r="144" spans="1:7" ht="15" thickBot="1" x14ac:dyDescent="0.35">
      <c r="A144" s="271" t="s">
        <v>454</v>
      </c>
      <c r="B144" s="272"/>
      <c r="C144" s="273"/>
      <c r="D144" s="273"/>
      <c r="E144" s="274" t="s">
        <v>175</v>
      </c>
    </row>
    <row r="145" spans="1:7" x14ac:dyDescent="0.3">
      <c r="A145" s="275"/>
      <c r="B145" s="276"/>
      <c r="E145" s="277"/>
    </row>
    <row r="146" spans="1:7" x14ac:dyDescent="0.3">
      <c r="A146" s="275" t="s">
        <v>449</v>
      </c>
      <c r="B146" s="276"/>
      <c r="E146" s="278">
        <v>165458.99</v>
      </c>
    </row>
    <row r="147" spans="1:7" x14ac:dyDescent="0.3">
      <c r="A147" s="275"/>
      <c r="B147" s="276"/>
      <c r="E147" s="278"/>
    </row>
    <row r="148" spans="1:7" x14ac:dyDescent="0.3">
      <c r="A148" s="275" t="s">
        <v>531</v>
      </c>
      <c r="B148" s="290"/>
      <c r="E148" s="277">
        <v>0</v>
      </c>
      <c r="G148" s="291"/>
    </row>
    <row r="149" spans="1:7" x14ac:dyDescent="0.3">
      <c r="A149" s="275"/>
      <c r="B149" s="276"/>
      <c r="E149" s="270">
        <f>SUM(E146:E148)</f>
        <v>165458.99</v>
      </c>
    </row>
    <row r="150" spans="1:7" x14ac:dyDescent="0.3">
      <c r="A150" s="275"/>
      <c r="B150" s="276"/>
      <c r="E150" s="277"/>
    </row>
    <row r="151" spans="1:7" x14ac:dyDescent="0.3">
      <c r="A151" s="275" t="s">
        <v>532</v>
      </c>
      <c r="B151" s="276"/>
      <c r="E151" s="277">
        <f>-E154</f>
        <v>-24818.85</v>
      </c>
    </row>
    <row r="152" spans="1:7" ht="15" thickBot="1" x14ac:dyDescent="0.35">
      <c r="A152" s="280" t="s">
        <v>93</v>
      </c>
      <c r="B152" s="281"/>
      <c r="E152" s="282">
        <f>SUM(E149:E151)</f>
        <v>140640.13999999998</v>
      </c>
    </row>
    <row r="153" spans="1:7" x14ac:dyDescent="0.3">
      <c r="A153" s="295"/>
      <c r="B153" s="281"/>
      <c r="E153" s="277"/>
    </row>
    <row r="154" spans="1:7" ht="15" thickBot="1" x14ac:dyDescent="0.35">
      <c r="A154" s="275" t="s">
        <v>176</v>
      </c>
      <c r="B154" s="276"/>
      <c r="C154" s="283">
        <v>0.15</v>
      </c>
      <c r="E154" s="284">
        <f>ROUND(E149*C154,2)</f>
        <v>24818.85</v>
      </c>
    </row>
    <row r="155" spans="1:7" x14ac:dyDescent="0.3">
      <c r="A155" s="285"/>
      <c r="B155" s="286"/>
      <c r="C155" s="287"/>
      <c r="D155" s="287"/>
      <c r="E155" s="288"/>
    </row>
    <row r="157" spans="1:7" x14ac:dyDescent="0.3">
      <c r="A157" s="267"/>
      <c r="B157" s="268"/>
      <c r="C157" s="269"/>
      <c r="D157" s="269"/>
      <c r="E157" s="270"/>
    </row>
    <row r="158" spans="1:7" ht="15" thickBot="1" x14ac:dyDescent="0.35">
      <c r="A158" s="271" t="s">
        <v>545</v>
      </c>
      <c r="B158" s="272"/>
      <c r="C158" s="273"/>
      <c r="D158" s="273"/>
      <c r="E158" s="274" t="s">
        <v>175</v>
      </c>
    </row>
    <row r="159" spans="1:7" x14ac:dyDescent="0.3">
      <c r="A159" s="275"/>
      <c r="B159" s="276"/>
      <c r="E159" s="277"/>
    </row>
    <row r="160" spans="1:7" x14ac:dyDescent="0.3">
      <c r="A160" s="275" t="s">
        <v>449</v>
      </c>
      <c r="B160" s="276"/>
      <c r="E160" s="278">
        <v>4735.2299999999996</v>
      </c>
    </row>
    <row r="161" spans="1:7" x14ac:dyDescent="0.3">
      <c r="A161" s="275"/>
      <c r="B161" s="276"/>
      <c r="E161" s="278"/>
    </row>
    <row r="162" spans="1:7" x14ac:dyDescent="0.3">
      <c r="A162" s="275" t="s">
        <v>531</v>
      </c>
      <c r="B162" s="290"/>
      <c r="E162" s="277">
        <v>0</v>
      </c>
      <c r="G162" s="291"/>
    </row>
    <row r="163" spans="1:7" x14ac:dyDescent="0.3">
      <c r="A163" s="275"/>
      <c r="B163" s="276"/>
      <c r="E163" s="270">
        <f>SUM(E160:E162)</f>
        <v>4735.2299999999996</v>
      </c>
    </row>
    <row r="164" spans="1:7" x14ac:dyDescent="0.3">
      <c r="A164" s="275"/>
      <c r="B164" s="276"/>
      <c r="E164" s="277"/>
    </row>
    <row r="165" spans="1:7" x14ac:dyDescent="0.3">
      <c r="A165" s="275" t="s">
        <v>532</v>
      </c>
      <c r="B165" s="276"/>
      <c r="E165" s="277">
        <f>-E168</f>
        <v>-710.28</v>
      </c>
    </row>
    <row r="166" spans="1:7" ht="15" thickBot="1" x14ac:dyDescent="0.35">
      <c r="A166" s="280" t="s">
        <v>93</v>
      </c>
      <c r="B166" s="281"/>
      <c r="E166" s="282">
        <f>SUM(E163:E165)</f>
        <v>4024.95</v>
      </c>
    </row>
    <row r="167" spans="1:7" x14ac:dyDescent="0.3">
      <c r="A167" s="280"/>
      <c r="B167" s="281"/>
      <c r="E167" s="278"/>
    </row>
    <row r="168" spans="1:7" ht="15" thickBot="1" x14ac:dyDescent="0.35">
      <c r="A168" s="275" t="s">
        <v>176</v>
      </c>
      <c r="B168" s="276"/>
      <c r="C168" s="283">
        <v>0.15</v>
      </c>
      <c r="E168" s="284">
        <f>ROUND(E163*C168,2)</f>
        <v>710.28</v>
      </c>
    </row>
    <row r="169" spans="1:7" x14ac:dyDescent="0.3">
      <c r="A169" s="285"/>
      <c r="B169" s="286"/>
      <c r="C169" s="287"/>
      <c r="D169" s="287"/>
      <c r="E169" s="288"/>
    </row>
  </sheetData>
  <mergeCells count="2">
    <mergeCell ref="A1:E1"/>
    <mergeCell ref="A2:E2"/>
  </mergeCells>
  <pageMargins left="0.47244094488188981" right="0.23622047244094491" top="0.35433070866141736" bottom="0.27559055118110237" header="0.23622047244094491" footer="0.11811023622047245"/>
  <pageSetup scale="77" orientation="portrait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7"/>
  <sheetViews>
    <sheetView topLeftCell="A16" workbookViewId="0">
      <selection activeCell="B43" sqref="B43"/>
    </sheetView>
  </sheetViews>
  <sheetFormatPr defaultColWidth="9.109375" defaultRowHeight="14.4" x14ac:dyDescent="0.25"/>
  <cols>
    <col min="1" max="1" width="39" style="230" bestFit="1" customWidth="1"/>
    <col min="2" max="3" width="13.33203125" style="330" bestFit="1" customWidth="1"/>
    <col min="4" max="4" width="12.88671875" style="230" bestFit="1" customWidth="1"/>
    <col min="5" max="5" width="12" style="350" bestFit="1" customWidth="1"/>
    <col min="6" max="6" width="18.109375" style="230" bestFit="1" customWidth="1"/>
    <col min="7" max="16384" width="9.109375" style="230"/>
  </cols>
  <sheetData>
    <row r="1" spans="1:7" ht="15.6" x14ac:dyDescent="0.25">
      <c r="A1" s="698" t="s">
        <v>73</v>
      </c>
      <c r="B1" s="698"/>
      <c r="C1" s="698"/>
      <c r="D1" s="698"/>
      <c r="E1" s="698"/>
    </row>
    <row r="2" spans="1:7" ht="15.6" x14ac:dyDescent="0.25">
      <c r="A2" s="698" t="s">
        <v>389</v>
      </c>
      <c r="B2" s="698"/>
      <c r="C2" s="698"/>
      <c r="D2" s="698"/>
      <c r="E2" s="698"/>
    </row>
    <row r="3" spans="1:7" ht="15.6" x14ac:dyDescent="0.25">
      <c r="A3" s="695" t="s">
        <v>648</v>
      </c>
      <c r="B3" s="695"/>
      <c r="C3" s="695"/>
      <c r="D3" s="695"/>
      <c r="E3" s="695"/>
    </row>
    <row r="4" spans="1:7" ht="15.6" x14ac:dyDescent="0.25">
      <c r="A4" s="207"/>
      <c r="B4" s="326"/>
      <c r="C4" s="326"/>
      <c r="D4" s="207"/>
      <c r="E4" s="347"/>
    </row>
    <row r="5" spans="1:7" ht="15.6" x14ac:dyDescent="0.25">
      <c r="A5" s="260"/>
      <c r="B5" s="327"/>
      <c r="C5" s="327"/>
      <c r="D5" s="318"/>
      <c r="E5" s="342"/>
    </row>
    <row r="6" spans="1:7" ht="15.6" x14ac:dyDescent="0.25">
      <c r="A6" s="261" t="s">
        <v>518</v>
      </c>
      <c r="B6" s="328" t="s">
        <v>519</v>
      </c>
      <c r="C6" s="328" t="s">
        <v>519</v>
      </c>
      <c r="D6" s="247" t="s">
        <v>520</v>
      </c>
      <c r="E6" s="343" t="s">
        <v>521</v>
      </c>
    </row>
    <row r="7" spans="1:7" ht="15.6" x14ac:dyDescent="0.25">
      <c r="A7" s="261"/>
      <c r="B7" s="328" t="s">
        <v>659</v>
      </c>
      <c r="C7" s="328" t="s">
        <v>660</v>
      </c>
      <c r="D7" s="262" t="s">
        <v>269</v>
      </c>
      <c r="E7" s="344" t="s">
        <v>269</v>
      </c>
    </row>
    <row r="8" spans="1:7" ht="16.2" thickBot="1" x14ac:dyDescent="0.3">
      <c r="A8" s="263"/>
      <c r="B8" s="329"/>
      <c r="C8" s="329"/>
      <c r="D8" s="265"/>
      <c r="E8" s="345"/>
    </row>
    <row r="9" spans="1:7" x14ac:dyDescent="0.25">
      <c r="A9" s="337"/>
      <c r="B9" s="338"/>
      <c r="C9" s="338"/>
      <c r="D9" s="339"/>
      <c r="E9" s="348"/>
      <c r="G9" s="251"/>
    </row>
    <row r="10" spans="1:7" x14ac:dyDescent="0.25">
      <c r="A10" s="351" t="s">
        <v>635</v>
      </c>
      <c r="B10" s="335"/>
      <c r="C10" s="333"/>
      <c r="D10" s="334"/>
      <c r="E10" s="349"/>
      <c r="G10" s="258"/>
    </row>
    <row r="11" spans="1:7" x14ac:dyDescent="0.25">
      <c r="A11" s="352" t="s">
        <v>488</v>
      </c>
      <c r="B11" s="333">
        <v>225951</v>
      </c>
      <c r="C11" s="333">
        <v>210812</v>
      </c>
      <c r="D11" s="334">
        <f>B11-C11</f>
        <v>15139</v>
      </c>
      <c r="E11" s="349">
        <f t="shared" ref="E11:E46" si="0">D11/C11</f>
        <v>7.1812800030358809E-2</v>
      </c>
    </row>
    <row r="12" spans="1:7" x14ac:dyDescent="0.25">
      <c r="A12" s="352" t="s">
        <v>489</v>
      </c>
      <c r="B12" s="333">
        <v>201148</v>
      </c>
      <c r="C12" s="333">
        <v>202281</v>
      </c>
      <c r="D12" s="334">
        <f t="shared" ref="D12:D41" si="1">B12-C12</f>
        <v>-1133</v>
      </c>
      <c r="E12" s="349">
        <f t="shared" si="0"/>
        <v>-5.6011192351234172E-3</v>
      </c>
      <c r="F12" s="252"/>
    </row>
    <row r="13" spans="1:7" x14ac:dyDescent="0.25">
      <c r="A13" s="352" t="s">
        <v>490</v>
      </c>
      <c r="B13" s="333">
        <v>29400</v>
      </c>
      <c r="C13" s="333">
        <v>29400</v>
      </c>
      <c r="D13" s="334">
        <f t="shared" si="1"/>
        <v>0</v>
      </c>
      <c r="E13" s="349">
        <f t="shared" si="0"/>
        <v>0</v>
      </c>
    </row>
    <row r="14" spans="1:7" x14ac:dyDescent="0.25">
      <c r="A14" s="352" t="s">
        <v>31</v>
      </c>
      <c r="B14" s="333">
        <v>3900</v>
      </c>
      <c r="C14" s="333">
        <v>3900</v>
      </c>
      <c r="D14" s="334"/>
      <c r="E14" s="349"/>
      <c r="F14" s="252"/>
    </row>
    <row r="15" spans="1:7" x14ac:dyDescent="0.25">
      <c r="A15" s="352" t="s">
        <v>491</v>
      </c>
      <c r="B15" s="333">
        <v>155220</v>
      </c>
      <c r="C15" s="333">
        <v>155052</v>
      </c>
      <c r="D15" s="334">
        <f t="shared" si="1"/>
        <v>168</v>
      </c>
      <c r="E15" s="349">
        <f t="shared" si="0"/>
        <v>1.0835074684621933E-3</v>
      </c>
      <c r="F15" s="252"/>
    </row>
    <row r="16" spans="1:7" x14ac:dyDescent="0.25">
      <c r="A16" s="352" t="s">
        <v>492</v>
      </c>
      <c r="B16" s="333">
        <v>97113</v>
      </c>
      <c r="C16" s="333">
        <v>79029</v>
      </c>
      <c r="D16" s="334">
        <f t="shared" si="1"/>
        <v>18084</v>
      </c>
      <c r="E16" s="349">
        <f t="shared" si="0"/>
        <v>0.22882739247617964</v>
      </c>
    </row>
    <row r="17" spans="1:8" x14ac:dyDescent="0.25">
      <c r="A17" s="352" t="s">
        <v>493</v>
      </c>
      <c r="B17" s="333">
        <v>32924</v>
      </c>
      <c r="C17" s="333">
        <v>32892</v>
      </c>
      <c r="D17" s="334"/>
      <c r="E17" s="349"/>
    </row>
    <row r="18" spans="1:8" x14ac:dyDescent="0.25">
      <c r="A18" s="352" t="s">
        <v>494</v>
      </c>
      <c r="B18" s="333">
        <v>73200</v>
      </c>
      <c r="C18" s="333">
        <v>73200</v>
      </c>
      <c r="D18" s="334">
        <f t="shared" si="1"/>
        <v>0</v>
      </c>
      <c r="E18" s="349">
        <f t="shared" si="0"/>
        <v>0</v>
      </c>
      <c r="F18" s="252"/>
      <c r="G18" s="254"/>
    </row>
    <row r="19" spans="1:8" x14ac:dyDescent="0.25">
      <c r="A19" s="352" t="s">
        <v>495</v>
      </c>
      <c r="B19" s="333">
        <v>214124</v>
      </c>
      <c r="C19" s="333">
        <v>302225</v>
      </c>
      <c r="D19" s="334">
        <f t="shared" si="1"/>
        <v>-88101</v>
      </c>
      <c r="E19" s="349">
        <f t="shared" si="0"/>
        <v>-0.29150798246339649</v>
      </c>
    </row>
    <row r="20" spans="1:8" x14ac:dyDescent="0.25">
      <c r="A20" s="352" t="s">
        <v>496</v>
      </c>
      <c r="B20" s="333">
        <v>32928</v>
      </c>
      <c r="C20" s="333">
        <v>32928</v>
      </c>
      <c r="D20" s="334">
        <f t="shared" si="1"/>
        <v>0</v>
      </c>
      <c r="E20" s="349">
        <f t="shared" si="0"/>
        <v>0</v>
      </c>
    </row>
    <row r="21" spans="1:8" x14ac:dyDescent="0.25">
      <c r="A21" s="352" t="s">
        <v>497</v>
      </c>
      <c r="B21" s="333">
        <v>103303</v>
      </c>
      <c r="C21" s="333">
        <v>99029</v>
      </c>
      <c r="D21" s="334">
        <f t="shared" si="1"/>
        <v>4274</v>
      </c>
      <c r="E21" s="349">
        <f t="shared" si="0"/>
        <v>4.3159074614506861E-2</v>
      </c>
    </row>
    <row r="22" spans="1:8" x14ac:dyDescent="0.25">
      <c r="A22" s="352" t="s">
        <v>498</v>
      </c>
      <c r="B22" s="333">
        <v>196584</v>
      </c>
      <c r="C22" s="333">
        <v>196368</v>
      </c>
      <c r="D22" s="334">
        <f t="shared" si="1"/>
        <v>216</v>
      </c>
      <c r="E22" s="349">
        <f t="shared" si="0"/>
        <v>1.0999755560987534E-3</v>
      </c>
      <c r="F22" s="252"/>
      <c r="H22" s="254"/>
    </row>
    <row r="23" spans="1:8" x14ac:dyDescent="0.25">
      <c r="A23" s="352" t="s">
        <v>499</v>
      </c>
      <c r="B23" s="333">
        <v>476450</v>
      </c>
      <c r="C23" s="333">
        <v>469850</v>
      </c>
      <c r="D23" s="334">
        <f t="shared" si="1"/>
        <v>6600</v>
      </c>
      <c r="E23" s="349">
        <f t="shared" si="0"/>
        <v>1.4047036288177078E-2</v>
      </c>
      <c r="F23" s="252"/>
      <c r="G23" s="254"/>
    </row>
    <row r="24" spans="1:8" x14ac:dyDescent="0.25">
      <c r="A24" s="352" t="s">
        <v>500</v>
      </c>
      <c r="B24" s="333">
        <v>259304</v>
      </c>
      <c r="C24" s="333">
        <v>20752</v>
      </c>
      <c r="D24" s="334">
        <f t="shared" si="1"/>
        <v>238552</v>
      </c>
      <c r="E24" s="349">
        <f t="shared" si="0"/>
        <v>11.495373939861219</v>
      </c>
      <c r="F24" s="252"/>
      <c r="G24" s="254"/>
    </row>
    <row r="25" spans="1:8" x14ac:dyDescent="0.25">
      <c r="A25" s="352" t="s">
        <v>501</v>
      </c>
      <c r="B25" s="333">
        <v>279396</v>
      </c>
      <c r="C25" s="333">
        <v>279084</v>
      </c>
      <c r="D25" s="334">
        <f t="shared" si="1"/>
        <v>312</v>
      </c>
      <c r="E25" s="349">
        <f t="shared" si="0"/>
        <v>1.1179429849077697E-3</v>
      </c>
      <c r="F25" s="252"/>
      <c r="G25" s="254"/>
    </row>
    <row r="26" spans="1:8" x14ac:dyDescent="0.25">
      <c r="A26" s="352" t="s">
        <v>502</v>
      </c>
      <c r="B26" s="333">
        <v>230</v>
      </c>
      <c r="C26" s="333">
        <v>240</v>
      </c>
      <c r="D26" s="334">
        <f t="shared" si="1"/>
        <v>-10</v>
      </c>
      <c r="E26" s="349">
        <f t="shared" si="0"/>
        <v>-4.1666666666666664E-2</v>
      </c>
    </row>
    <row r="27" spans="1:8" x14ac:dyDescent="0.25">
      <c r="A27" s="352" t="s">
        <v>503</v>
      </c>
      <c r="B27" s="333">
        <v>2362964</v>
      </c>
      <c r="C27" s="333">
        <v>2334374</v>
      </c>
      <c r="D27" s="334">
        <f t="shared" si="1"/>
        <v>28590</v>
      </c>
      <c r="E27" s="349">
        <f t="shared" si="0"/>
        <v>1.2247394804774214E-2</v>
      </c>
    </row>
    <row r="28" spans="1:8" x14ac:dyDescent="0.25">
      <c r="A28" s="351" t="s">
        <v>636</v>
      </c>
      <c r="B28" s="333"/>
      <c r="C28" s="333"/>
      <c r="D28" s="334">
        <f t="shared" si="1"/>
        <v>0</v>
      </c>
      <c r="E28" s="349"/>
    </row>
    <row r="29" spans="1:8" x14ac:dyDescent="0.25">
      <c r="A29" s="352" t="s">
        <v>484</v>
      </c>
      <c r="B29" s="333">
        <v>57900</v>
      </c>
      <c r="C29" s="333">
        <v>52400</v>
      </c>
      <c r="D29" s="334">
        <f t="shared" si="1"/>
        <v>5500</v>
      </c>
      <c r="E29" s="349">
        <f t="shared" si="0"/>
        <v>0.1049618320610687</v>
      </c>
    </row>
    <row r="30" spans="1:8" x14ac:dyDescent="0.25">
      <c r="A30" s="352" t="s">
        <v>485</v>
      </c>
      <c r="B30" s="333">
        <v>11625</v>
      </c>
      <c r="C30" s="333">
        <v>470365</v>
      </c>
      <c r="D30" s="334">
        <f t="shared" si="1"/>
        <v>-458740</v>
      </c>
      <c r="E30" s="349">
        <f t="shared" si="0"/>
        <v>-0.97528515089345513</v>
      </c>
    </row>
    <row r="31" spans="1:8" x14ac:dyDescent="0.25">
      <c r="A31" s="352" t="s">
        <v>486</v>
      </c>
      <c r="B31" s="333">
        <v>504500</v>
      </c>
      <c r="C31" s="333">
        <v>13625</v>
      </c>
      <c r="D31" s="334">
        <f t="shared" si="1"/>
        <v>490875</v>
      </c>
      <c r="E31" s="349">
        <f t="shared" si="0"/>
        <v>36.027522935779814</v>
      </c>
    </row>
    <row r="32" spans="1:8" x14ac:dyDescent="0.25">
      <c r="A32" s="351" t="s">
        <v>637</v>
      </c>
      <c r="B32" s="333"/>
      <c r="C32" s="333"/>
      <c r="D32" s="334">
        <f t="shared" si="1"/>
        <v>0</v>
      </c>
      <c r="E32" s="349"/>
    </row>
    <row r="33" spans="1:11" x14ac:dyDescent="0.25">
      <c r="A33" s="352" t="s">
        <v>487</v>
      </c>
      <c r="B33" s="333">
        <v>28970</v>
      </c>
      <c r="C33" s="333">
        <v>24000</v>
      </c>
      <c r="D33" s="334">
        <f t="shared" si="1"/>
        <v>4970</v>
      </c>
      <c r="E33" s="349">
        <f t="shared" si="0"/>
        <v>0.20708333333333334</v>
      </c>
      <c r="F33" s="252"/>
      <c r="K33" s="254"/>
    </row>
    <row r="34" spans="1:11" x14ac:dyDescent="0.25">
      <c r="A34" s="352" t="s">
        <v>646</v>
      </c>
      <c r="B34" s="333">
        <v>32150</v>
      </c>
      <c r="C34" s="333">
        <v>0</v>
      </c>
      <c r="D34" s="334">
        <f t="shared" si="1"/>
        <v>32150</v>
      </c>
      <c r="E34" s="349"/>
      <c r="F34" s="252"/>
      <c r="K34" s="254"/>
    </row>
    <row r="35" spans="1:11" x14ac:dyDescent="0.25">
      <c r="A35" s="351" t="s">
        <v>257</v>
      </c>
      <c r="B35" s="333"/>
      <c r="C35" s="333"/>
      <c r="D35" s="334">
        <f t="shared" si="1"/>
        <v>0</v>
      </c>
      <c r="E35" s="349"/>
      <c r="F35" s="252"/>
      <c r="G35" s="259"/>
    </row>
    <row r="36" spans="1:11" x14ac:dyDescent="0.25">
      <c r="A36" s="352" t="s">
        <v>638</v>
      </c>
      <c r="B36" s="333">
        <v>6500</v>
      </c>
      <c r="C36" s="333">
        <v>1700</v>
      </c>
      <c r="D36" s="334">
        <f t="shared" si="1"/>
        <v>4800</v>
      </c>
      <c r="E36" s="349">
        <f t="shared" si="0"/>
        <v>2.8235294117647061</v>
      </c>
      <c r="F36" s="252"/>
    </row>
    <row r="37" spans="1:11" x14ac:dyDescent="0.25">
      <c r="A37" s="352" t="s">
        <v>639</v>
      </c>
      <c r="B37" s="333">
        <v>720</v>
      </c>
      <c r="C37" s="333">
        <v>54038</v>
      </c>
      <c r="D37" s="334">
        <f t="shared" si="1"/>
        <v>-53318</v>
      </c>
      <c r="E37" s="349">
        <f t="shared" si="0"/>
        <v>-0.98667604278470711</v>
      </c>
      <c r="F37" s="252"/>
      <c r="G37" s="254"/>
    </row>
    <row r="38" spans="1:11" x14ac:dyDescent="0.25">
      <c r="A38" s="352" t="s">
        <v>257</v>
      </c>
      <c r="B38" s="333">
        <v>362</v>
      </c>
      <c r="C38" s="333">
        <v>1010</v>
      </c>
      <c r="D38" s="334">
        <f t="shared" si="1"/>
        <v>-648</v>
      </c>
      <c r="E38" s="349">
        <f t="shared" si="0"/>
        <v>-0.6415841584158416</v>
      </c>
    </row>
    <row r="39" spans="1:11" x14ac:dyDescent="0.25">
      <c r="A39" s="352" t="s">
        <v>640</v>
      </c>
      <c r="B39" s="333">
        <v>12000</v>
      </c>
      <c r="C39" s="333">
        <v>13500</v>
      </c>
      <c r="D39" s="334">
        <f t="shared" si="1"/>
        <v>-1500</v>
      </c>
      <c r="E39" s="349">
        <f t="shared" si="0"/>
        <v>-0.1111111111111111</v>
      </c>
    </row>
    <row r="40" spans="1:11" x14ac:dyDescent="0.25">
      <c r="A40" s="352" t="s">
        <v>641</v>
      </c>
      <c r="B40" s="333">
        <v>11.16</v>
      </c>
      <c r="C40" s="333">
        <v>16.57</v>
      </c>
      <c r="D40" s="334">
        <f t="shared" si="1"/>
        <v>-5.41</v>
      </c>
      <c r="E40" s="349">
        <f t="shared" si="0"/>
        <v>-0.3264936632468316</v>
      </c>
    </row>
    <row r="41" spans="1:11" x14ac:dyDescent="0.25">
      <c r="A41" s="352" t="s">
        <v>642</v>
      </c>
      <c r="B41" s="333">
        <v>63950</v>
      </c>
      <c r="C41" s="333">
        <v>36130</v>
      </c>
      <c r="D41" s="334">
        <f t="shared" si="1"/>
        <v>27820</v>
      </c>
      <c r="E41" s="349">
        <f t="shared" si="0"/>
        <v>0.76999723221699423</v>
      </c>
    </row>
    <row r="42" spans="1:11" x14ac:dyDescent="0.25">
      <c r="A42" s="351" t="s">
        <v>647</v>
      </c>
      <c r="B42" s="333">
        <v>603</v>
      </c>
      <c r="C42" s="333">
        <v>0</v>
      </c>
      <c r="D42" s="335"/>
      <c r="E42" s="349"/>
    </row>
    <row r="43" spans="1:11" x14ac:dyDescent="0.25">
      <c r="A43" s="351" t="s">
        <v>643</v>
      </c>
      <c r="B43" s="333">
        <v>165497.26999999999</v>
      </c>
      <c r="C43" s="333">
        <v>32514.7</v>
      </c>
      <c r="D43" s="336">
        <f>B43-C43</f>
        <v>132982.56999999998</v>
      </c>
      <c r="E43" s="349">
        <f t="shared" si="0"/>
        <v>4.0899214816682905</v>
      </c>
    </row>
    <row r="44" spans="1:11" x14ac:dyDescent="0.25">
      <c r="A44" s="351" t="s">
        <v>644</v>
      </c>
      <c r="B44" s="333">
        <v>884476</v>
      </c>
      <c r="C44" s="333">
        <v>969108</v>
      </c>
      <c r="D44" s="336">
        <f>B44-C44</f>
        <v>-84632</v>
      </c>
      <c r="E44" s="349">
        <f t="shared" si="0"/>
        <v>-8.7329791932374931E-2</v>
      </c>
    </row>
    <row r="45" spans="1:11" x14ac:dyDescent="0.25">
      <c r="A45" s="351" t="s">
        <v>258</v>
      </c>
      <c r="B45" s="333">
        <v>35322</v>
      </c>
      <c r="C45" s="333">
        <v>77303</v>
      </c>
      <c r="D45" s="336">
        <f>B45-C45</f>
        <v>-41981</v>
      </c>
      <c r="E45" s="349">
        <f t="shared" si="0"/>
        <v>-0.54307077344993082</v>
      </c>
    </row>
    <row r="46" spans="1:11" x14ac:dyDescent="0.25">
      <c r="A46" s="351" t="s">
        <v>645</v>
      </c>
      <c r="B46" s="333">
        <v>0</v>
      </c>
      <c r="C46" s="333">
        <v>10773</v>
      </c>
      <c r="D46" s="336">
        <f>B46-C46</f>
        <v>-10773</v>
      </c>
      <c r="E46" s="349">
        <f t="shared" si="0"/>
        <v>-1</v>
      </c>
    </row>
    <row r="47" spans="1:11" x14ac:dyDescent="0.25">
      <c r="A47" s="340" t="s">
        <v>93</v>
      </c>
      <c r="B47" s="335">
        <f>SUM(B11:B46)</f>
        <v>6548725.4299999997</v>
      </c>
      <c r="C47" s="335">
        <f>SUM(C11:C46)</f>
        <v>6277899.2700000005</v>
      </c>
      <c r="D47" s="335">
        <f t="shared" ref="D47:E47" si="2">SUM(D11:D46)</f>
        <v>270191.15999999992</v>
      </c>
      <c r="E47" s="353">
        <f t="shared" si="2"/>
        <v>50.881458830709455</v>
      </c>
    </row>
  </sheetData>
  <mergeCells count="3">
    <mergeCell ref="A1:E1"/>
    <mergeCell ref="A2:E2"/>
    <mergeCell ref="A3:E3"/>
  </mergeCells>
  <pageMargins left="0.48" right="0.2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5"/>
  <sheetViews>
    <sheetView workbookViewId="0">
      <selection activeCell="G11" sqref="G11"/>
    </sheetView>
  </sheetViews>
  <sheetFormatPr defaultColWidth="9.109375" defaultRowHeight="14.4" x14ac:dyDescent="0.25"/>
  <cols>
    <col min="1" max="1" width="32.6640625" style="230" bestFit="1" customWidth="1"/>
    <col min="2" max="3" width="13.33203125" style="230" bestFit="1" customWidth="1"/>
    <col min="4" max="4" width="14" style="230" bestFit="1" customWidth="1"/>
    <col min="5" max="5" width="12" style="346" bestFit="1" customWidth="1"/>
    <col min="6" max="6" width="13" style="230" customWidth="1"/>
    <col min="7" max="7" width="30" style="230" bestFit="1" customWidth="1"/>
    <col min="8" max="16384" width="9.109375" style="230"/>
  </cols>
  <sheetData>
    <row r="1" spans="1:9" ht="15.6" x14ac:dyDescent="0.25">
      <c r="A1" s="699" t="s">
        <v>73</v>
      </c>
      <c r="B1" s="700"/>
      <c r="C1" s="700"/>
      <c r="D1" s="700"/>
      <c r="E1" s="701"/>
    </row>
    <row r="2" spans="1:9" ht="15.6" x14ac:dyDescent="0.25">
      <c r="A2" s="704" t="s">
        <v>388</v>
      </c>
      <c r="B2" s="698"/>
      <c r="C2" s="698"/>
      <c r="D2" s="698"/>
      <c r="E2" s="705"/>
    </row>
    <row r="3" spans="1:9" ht="15.6" x14ac:dyDescent="0.25">
      <c r="A3" s="702" t="s">
        <v>648</v>
      </c>
      <c r="B3" s="695"/>
      <c r="C3" s="695"/>
      <c r="D3" s="695"/>
      <c r="E3" s="703"/>
    </row>
    <row r="4" spans="1:9" ht="15.6" x14ac:dyDescent="0.25">
      <c r="A4" s="308"/>
      <c r="B4" s="91"/>
      <c r="C4" s="91"/>
      <c r="D4" s="91"/>
      <c r="E4" s="341"/>
    </row>
    <row r="5" spans="1:9" ht="15.6" x14ac:dyDescent="0.25">
      <c r="A5" s="260"/>
      <c r="B5" s="318"/>
      <c r="C5" s="318"/>
      <c r="D5" s="318"/>
      <c r="E5" s="342"/>
    </row>
    <row r="6" spans="1:9" ht="15.6" x14ac:dyDescent="0.25">
      <c r="A6" s="261" t="s">
        <v>522</v>
      </c>
      <c r="B6" s="247" t="s">
        <v>519</v>
      </c>
      <c r="C6" s="247" t="s">
        <v>519</v>
      </c>
      <c r="D6" s="247" t="s">
        <v>520</v>
      </c>
      <c r="E6" s="343" t="s">
        <v>521</v>
      </c>
    </row>
    <row r="7" spans="1:9" ht="15.6" x14ac:dyDescent="0.25">
      <c r="A7" s="261"/>
      <c r="B7" s="247" t="s">
        <v>660</v>
      </c>
      <c r="C7" s="247" t="s">
        <v>659</v>
      </c>
      <c r="D7" s="262" t="s">
        <v>269</v>
      </c>
      <c r="E7" s="344" t="s">
        <v>269</v>
      </c>
    </row>
    <row r="8" spans="1:9" ht="16.2" thickBot="1" x14ac:dyDescent="0.3">
      <c r="A8" s="263"/>
      <c r="B8" s="264"/>
      <c r="C8" s="264"/>
      <c r="D8" s="265"/>
      <c r="E8" s="345"/>
    </row>
    <row r="9" spans="1:9" x14ac:dyDescent="0.25">
      <c r="A9" s="360"/>
      <c r="B9" s="361"/>
      <c r="C9" s="361"/>
      <c r="D9" s="361"/>
      <c r="E9" s="362"/>
    </row>
    <row r="10" spans="1:9" x14ac:dyDescent="0.25">
      <c r="A10" s="351" t="s">
        <v>649</v>
      </c>
      <c r="B10" s="335"/>
      <c r="C10" s="335"/>
      <c r="D10" s="334"/>
      <c r="E10" s="349"/>
      <c r="F10" s="252"/>
      <c r="G10" s="92"/>
      <c r="H10" s="253"/>
      <c r="I10" s="254"/>
    </row>
    <row r="11" spans="1:9" x14ac:dyDescent="0.25">
      <c r="A11" s="352" t="s">
        <v>650</v>
      </c>
      <c r="B11" s="333">
        <v>32790</v>
      </c>
      <c r="C11" s="333">
        <v>0</v>
      </c>
      <c r="D11" s="334">
        <f t="shared" ref="D11:D72" si="0">C11-B11</f>
        <v>-32790</v>
      </c>
      <c r="E11" s="349"/>
      <c r="G11" s="255"/>
      <c r="H11" s="256"/>
    </row>
    <row r="12" spans="1:9" x14ac:dyDescent="0.25">
      <c r="A12" s="351" t="s">
        <v>260</v>
      </c>
      <c r="B12" s="333"/>
      <c r="C12" s="333"/>
      <c r="D12" s="334">
        <f t="shared" si="0"/>
        <v>0</v>
      </c>
      <c r="E12" s="349"/>
      <c r="G12" s="255"/>
      <c r="H12" s="256"/>
    </row>
    <row r="13" spans="1:9" x14ac:dyDescent="0.25">
      <c r="A13" s="352" t="s">
        <v>504</v>
      </c>
      <c r="B13" s="333">
        <v>161500</v>
      </c>
      <c r="C13" s="333">
        <v>178751</v>
      </c>
      <c r="D13" s="334">
        <f t="shared" si="0"/>
        <v>17251</v>
      </c>
      <c r="E13" s="349">
        <f t="shared" ref="E13:E72" si="1">D13/C13</f>
        <v>9.6508551001113274E-2</v>
      </c>
      <c r="G13" s="255"/>
      <c r="H13" s="256"/>
    </row>
    <row r="14" spans="1:9" x14ac:dyDescent="0.25">
      <c r="A14" s="352" t="s">
        <v>441</v>
      </c>
      <c r="B14" s="333">
        <v>148001</v>
      </c>
      <c r="C14" s="333">
        <v>164451</v>
      </c>
      <c r="D14" s="334">
        <f t="shared" si="0"/>
        <v>16450</v>
      </c>
      <c r="E14" s="349">
        <f t="shared" si="1"/>
        <v>0.10002979610947942</v>
      </c>
      <c r="G14" s="255"/>
      <c r="H14" s="256"/>
    </row>
    <row r="15" spans="1:9" x14ac:dyDescent="0.25">
      <c r="A15" s="352" t="s">
        <v>297</v>
      </c>
      <c r="B15" s="333">
        <v>20001</v>
      </c>
      <c r="C15" s="333">
        <v>22100</v>
      </c>
      <c r="D15" s="334">
        <f t="shared" si="0"/>
        <v>2099</v>
      </c>
      <c r="E15" s="349">
        <f t="shared" si="1"/>
        <v>9.4977375565610866E-2</v>
      </c>
      <c r="G15" s="255"/>
      <c r="H15" s="256"/>
      <c r="I15" s="254"/>
    </row>
    <row r="16" spans="1:9" x14ac:dyDescent="0.25">
      <c r="A16" s="352" t="s">
        <v>505</v>
      </c>
      <c r="B16" s="333">
        <v>84000</v>
      </c>
      <c r="C16" s="333">
        <v>85800</v>
      </c>
      <c r="D16" s="334">
        <f t="shared" si="0"/>
        <v>1800</v>
      </c>
      <c r="E16" s="349">
        <f t="shared" si="1"/>
        <v>2.097902097902098E-2</v>
      </c>
      <c r="G16" s="255"/>
      <c r="H16" s="256"/>
    </row>
    <row r="17" spans="1:13" x14ac:dyDescent="0.25">
      <c r="A17" s="352" t="s">
        <v>506</v>
      </c>
      <c r="B17" s="333">
        <v>93000</v>
      </c>
      <c r="C17" s="333">
        <v>94250</v>
      </c>
      <c r="D17" s="334">
        <f t="shared" si="0"/>
        <v>1250</v>
      </c>
      <c r="E17" s="349">
        <f t="shared" si="1"/>
        <v>1.3262599469496022E-2</v>
      </c>
      <c r="G17" s="92"/>
      <c r="H17" s="253"/>
    </row>
    <row r="18" spans="1:13" x14ac:dyDescent="0.25">
      <c r="A18" s="352" t="s">
        <v>507</v>
      </c>
      <c r="B18" s="333">
        <v>13000</v>
      </c>
      <c r="C18" s="333">
        <v>13000</v>
      </c>
      <c r="D18" s="334">
        <f t="shared" si="0"/>
        <v>0</v>
      </c>
      <c r="E18" s="349">
        <f t="shared" si="1"/>
        <v>0</v>
      </c>
      <c r="G18" s="255"/>
      <c r="H18" s="256"/>
    </row>
    <row r="19" spans="1:13" x14ac:dyDescent="0.25">
      <c r="A19" s="351" t="s">
        <v>447</v>
      </c>
      <c r="B19" s="333"/>
      <c r="C19" s="333"/>
      <c r="D19" s="334"/>
      <c r="E19" s="349"/>
      <c r="G19" s="255"/>
      <c r="H19" s="256"/>
    </row>
    <row r="20" spans="1:13" x14ac:dyDescent="0.25">
      <c r="A20" s="352" t="s">
        <v>508</v>
      </c>
      <c r="B20" s="333">
        <v>21219</v>
      </c>
      <c r="C20" s="333">
        <v>2820</v>
      </c>
      <c r="D20" s="334">
        <f t="shared" ref="D20" si="2">C20-B20</f>
        <v>-18399</v>
      </c>
      <c r="E20" s="349">
        <f t="shared" ref="E20:E21" si="3">D20/C20</f>
        <v>-6.524468085106383</v>
      </c>
      <c r="G20" s="92"/>
      <c r="H20" s="253"/>
    </row>
    <row r="21" spans="1:13" x14ac:dyDescent="0.25">
      <c r="A21" s="352" t="s">
        <v>447</v>
      </c>
      <c r="B21" s="333">
        <v>633000</v>
      </c>
      <c r="C21" s="333">
        <v>634890</v>
      </c>
      <c r="D21" s="334">
        <f t="shared" si="0"/>
        <v>1890</v>
      </c>
      <c r="E21" s="349">
        <f t="shared" si="3"/>
        <v>2.9768936351178945E-3</v>
      </c>
      <c r="G21" s="255"/>
      <c r="H21" s="256"/>
      <c r="M21" s="254"/>
    </row>
    <row r="22" spans="1:13" x14ac:dyDescent="0.25">
      <c r="A22" s="351" t="s">
        <v>280</v>
      </c>
      <c r="B22" s="333"/>
      <c r="C22" s="333"/>
      <c r="D22" s="334"/>
      <c r="E22" s="349"/>
      <c r="G22" s="257"/>
      <c r="H22" s="253"/>
    </row>
    <row r="23" spans="1:13" x14ac:dyDescent="0.25">
      <c r="A23" s="352" t="s">
        <v>656</v>
      </c>
      <c r="B23" s="333">
        <v>0</v>
      </c>
      <c r="C23" s="333">
        <v>2000</v>
      </c>
      <c r="D23" s="334">
        <f t="shared" ref="D23" si="4">C23-B23</f>
        <v>2000</v>
      </c>
      <c r="E23" s="349">
        <f t="shared" ref="E23" si="5">D23/C23</f>
        <v>1</v>
      </c>
      <c r="G23" s="257"/>
      <c r="H23" s="253"/>
    </row>
    <row r="24" spans="1:13" x14ac:dyDescent="0.25">
      <c r="A24" s="352" t="s">
        <v>280</v>
      </c>
      <c r="B24" s="333">
        <v>3310.1</v>
      </c>
      <c r="C24" s="333">
        <v>4148.96</v>
      </c>
      <c r="D24" s="334">
        <f t="shared" si="0"/>
        <v>838.86000000000013</v>
      </c>
      <c r="E24" s="349">
        <f t="shared" si="1"/>
        <v>0.2021856079595851</v>
      </c>
      <c r="G24" s="255"/>
      <c r="H24" s="256"/>
      <c r="M24" s="254"/>
    </row>
    <row r="25" spans="1:13" x14ac:dyDescent="0.25">
      <c r="A25" s="351" t="s">
        <v>168</v>
      </c>
      <c r="B25" s="335"/>
      <c r="C25" s="335"/>
      <c r="D25" s="334"/>
      <c r="E25" s="349"/>
      <c r="G25" s="257"/>
      <c r="H25" s="253"/>
    </row>
    <row r="26" spans="1:13" x14ac:dyDescent="0.25">
      <c r="A26" s="352" t="s">
        <v>168</v>
      </c>
      <c r="B26" s="333">
        <f>94700-25000</f>
        <v>69700</v>
      </c>
      <c r="C26" s="333">
        <f>'I&amp;E'!D12</f>
        <v>215900</v>
      </c>
      <c r="D26" s="334">
        <f t="shared" si="0"/>
        <v>146200</v>
      </c>
      <c r="E26" s="349">
        <f t="shared" si="1"/>
        <v>0.67716535433070868</v>
      </c>
      <c r="G26" s="255"/>
      <c r="H26" s="256"/>
      <c r="M26" s="254"/>
    </row>
    <row r="27" spans="1:13" x14ac:dyDescent="0.25">
      <c r="A27" s="380" t="s">
        <v>741</v>
      </c>
      <c r="B27" s="333">
        <v>25000</v>
      </c>
      <c r="C27" s="333">
        <f>'I&amp;E'!D20</f>
        <v>78608</v>
      </c>
      <c r="D27" s="334"/>
      <c r="E27" s="349"/>
      <c r="G27" s="255"/>
      <c r="H27" s="256"/>
      <c r="M27" s="254"/>
    </row>
    <row r="28" spans="1:13" x14ac:dyDescent="0.25">
      <c r="A28" s="351" t="s">
        <v>169</v>
      </c>
      <c r="B28" s="335"/>
      <c r="C28" s="335"/>
      <c r="D28" s="334"/>
      <c r="E28" s="349"/>
      <c r="G28" s="257"/>
      <c r="H28" s="253"/>
    </row>
    <row r="29" spans="1:13" x14ac:dyDescent="0.25">
      <c r="A29" s="352" t="s">
        <v>651</v>
      </c>
      <c r="B29" s="333">
        <v>-8000</v>
      </c>
      <c r="C29" s="333">
        <v>0</v>
      </c>
      <c r="D29" s="334">
        <f t="shared" si="0"/>
        <v>8000</v>
      </c>
      <c r="E29" s="349"/>
      <c r="G29" s="255"/>
      <c r="H29" s="256"/>
    </row>
    <row r="30" spans="1:13" x14ac:dyDescent="0.25">
      <c r="A30" s="352" t="s">
        <v>509</v>
      </c>
      <c r="B30" s="333">
        <v>15550</v>
      </c>
      <c r="C30" s="333">
        <v>17350</v>
      </c>
      <c r="D30" s="334">
        <f t="shared" si="0"/>
        <v>1800</v>
      </c>
      <c r="E30" s="349">
        <f t="shared" si="1"/>
        <v>0.1037463976945245</v>
      </c>
      <c r="G30" s="255"/>
      <c r="H30" s="256"/>
    </row>
    <row r="31" spans="1:13" x14ac:dyDescent="0.25">
      <c r="A31" s="352" t="s">
        <v>510</v>
      </c>
      <c r="B31" s="333">
        <v>46522.86</v>
      </c>
      <c r="C31" s="333">
        <v>21600</v>
      </c>
      <c r="D31" s="334">
        <f t="shared" si="0"/>
        <v>-24922.86</v>
      </c>
      <c r="E31" s="349">
        <f t="shared" si="1"/>
        <v>-1.1538361111111111</v>
      </c>
      <c r="F31" s="252"/>
      <c r="G31" s="255"/>
      <c r="H31" s="256"/>
    </row>
    <row r="32" spans="1:13" x14ac:dyDescent="0.25">
      <c r="A32" s="352" t="s">
        <v>511</v>
      </c>
      <c r="B32" s="333">
        <v>94943</v>
      </c>
      <c r="C32" s="333">
        <v>105070</v>
      </c>
      <c r="D32" s="334">
        <f t="shared" si="0"/>
        <v>10127</v>
      </c>
      <c r="E32" s="349">
        <f t="shared" si="1"/>
        <v>9.6383363471971073E-2</v>
      </c>
      <c r="G32" s="255"/>
      <c r="H32" s="256"/>
    </row>
    <row r="33" spans="1:8" x14ac:dyDescent="0.25">
      <c r="A33" s="352" t="s">
        <v>512</v>
      </c>
      <c r="B33" s="333">
        <v>16650</v>
      </c>
      <c r="C33" s="333">
        <v>168700</v>
      </c>
      <c r="D33" s="334">
        <f t="shared" si="0"/>
        <v>152050</v>
      </c>
      <c r="E33" s="349">
        <f t="shared" si="1"/>
        <v>0.90130409010077062</v>
      </c>
      <c r="G33" s="255"/>
      <c r="H33" s="256"/>
    </row>
    <row r="34" spans="1:8" x14ac:dyDescent="0.25">
      <c r="A34" s="352" t="s">
        <v>513</v>
      </c>
      <c r="B34" s="333">
        <v>64513.5</v>
      </c>
      <c r="C34" s="333">
        <v>13900</v>
      </c>
      <c r="D34" s="334">
        <f t="shared" si="0"/>
        <v>-50613.5</v>
      </c>
      <c r="E34" s="349">
        <f t="shared" si="1"/>
        <v>-3.6412589928057555</v>
      </c>
      <c r="G34" s="255"/>
      <c r="H34" s="256"/>
    </row>
    <row r="35" spans="1:8" x14ac:dyDescent="0.25">
      <c r="A35" s="352" t="s">
        <v>514</v>
      </c>
      <c r="B35" s="333">
        <v>38625</v>
      </c>
      <c r="C35" s="333">
        <v>130290</v>
      </c>
      <c r="D35" s="334">
        <f t="shared" si="0"/>
        <v>91665</v>
      </c>
      <c r="E35" s="349">
        <f t="shared" si="1"/>
        <v>0.70354593598894777</v>
      </c>
      <c r="G35" s="255"/>
      <c r="H35" s="256"/>
    </row>
    <row r="36" spans="1:8" x14ac:dyDescent="0.25">
      <c r="A36" s="352" t="s">
        <v>515</v>
      </c>
      <c r="B36" s="333">
        <v>2000</v>
      </c>
      <c r="C36" s="333">
        <v>10700</v>
      </c>
      <c r="D36" s="334">
        <f t="shared" si="0"/>
        <v>8700</v>
      </c>
      <c r="E36" s="349">
        <f t="shared" si="1"/>
        <v>0.81308411214953269</v>
      </c>
      <c r="G36" s="255"/>
      <c r="H36" s="256"/>
    </row>
    <row r="37" spans="1:8" x14ac:dyDescent="0.25">
      <c r="A37" s="352" t="s">
        <v>517</v>
      </c>
      <c r="B37" s="333">
        <v>12435</v>
      </c>
      <c r="C37" s="333">
        <v>14811</v>
      </c>
      <c r="D37" s="334">
        <f t="shared" si="0"/>
        <v>2376</v>
      </c>
      <c r="E37" s="349">
        <f t="shared" si="1"/>
        <v>0.16042130848693539</v>
      </c>
      <c r="G37" s="255"/>
      <c r="H37" s="256"/>
    </row>
    <row r="38" spans="1:8" x14ac:dyDescent="0.25">
      <c r="A38" s="352" t="s">
        <v>516</v>
      </c>
      <c r="B38" s="333">
        <v>59800</v>
      </c>
      <c r="C38" s="333">
        <v>5350</v>
      </c>
      <c r="D38" s="334">
        <f t="shared" si="0"/>
        <v>-54450</v>
      </c>
      <c r="E38" s="349">
        <f t="shared" si="1"/>
        <v>-10.177570093457945</v>
      </c>
      <c r="G38" s="255"/>
      <c r="H38" s="256"/>
    </row>
    <row r="39" spans="1:8" x14ac:dyDescent="0.25">
      <c r="A39" s="352" t="s">
        <v>281</v>
      </c>
      <c r="B39" s="333">
        <v>23550</v>
      </c>
      <c r="C39" s="333">
        <v>43190</v>
      </c>
      <c r="D39" s="334">
        <f t="shared" si="0"/>
        <v>19640</v>
      </c>
      <c r="E39" s="349">
        <f t="shared" si="1"/>
        <v>0.45473489233618891</v>
      </c>
      <c r="G39" s="255"/>
      <c r="H39" s="256"/>
    </row>
    <row r="40" spans="1:8" x14ac:dyDescent="0.25">
      <c r="A40" s="352" t="s">
        <v>320</v>
      </c>
      <c r="B40" s="333">
        <v>125450</v>
      </c>
      <c r="C40" s="333">
        <v>64400</v>
      </c>
      <c r="D40" s="334">
        <f t="shared" si="0"/>
        <v>-61050</v>
      </c>
      <c r="E40" s="349">
        <f t="shared" si="1"/>
        <v>-0.94798136645962738</v>
      </c>
      <c r="G40" s="255"/>
      <c r="H40" s="256"/>
    </row>
    <row r="41" spans="1:8" x14ac:dyDescent="0.25">
      <c r="A41" s="352" t="s">
        <v>321</v>
      </c>
      <c r="B41" s="333">
        <v>18434</v>
      </c>
      <c r="C41" s="333">
        <v>37697</v>
      </c>
      <c r="D41" s="334">
        <f t="shared" si="0"/>
        <v>19263</v>
      </c>
      <c r="E41" s="349">
        <f t="shared" si="1"/>
        <v>0.51099556993925244</v>
      </c>
      <c r="G41" s="255"/>
      <c r="H41" s="256"/>
    </row>
    <row r="42" spans="1:8" x14ac:dyDescent="0.25">
      <c r="A42" s="352" t="s">
        <v>652</v>
      </c>
      <c r="B42" s="333">
        <v>1000000</v>
      </c>
      <c r="C42" s="333">
        <v>0</v>
      </c>
      <c r="D42" s="334">
        <f t="shared" si="0"/>
        <v>-1000000</v>
      </c>
      <c r="E42" s="349"/>
      <c r="G42" s="354"/>
      <c r="H42" s="355"/>
    </row>
    <row r="43" spans="1:8" x14ac:dyDescent="0.25">
      <c r="A43" s="352" t="s">
        <v>299</v>
      </c>
      <c r="B43" s="333">
        <v>317585.5</v>
      </c>
      <c r="C43" s="333">
        <v>1599613.6</v>
      </c>
      <c r="D43" s="334">
        <f t="shared" si="0"/>
        <v>1282028.1000000001</v>
      </c>
      <c r="E43" s="349">
        <f t="shared" si="1"/>
        <v>0.80146111535935927</v>
      </c>
      <c r="G43" s="354"/>
    </row>
    <row r="44" spans="1:8" x14ac:dyDescent="0.25">
      <c r="A44" s="358" t="s">
        <v>653</v>
      </c>
      <c r="B44" s="333">
        <v>67150</v>
      </c>
      <c r="C44" s="333">
        <v>71990</v>
      </c>
      <c r="D44" s="334">
        <f t="shared" si="0"/>
        <v>4840</v>
      </c>
      <c r="E44" s="349">
        <f t="shared" si="1"/>
        <v>6.72315599388804E-2</v>
      </c>
      <c r="G44" s="354"/>
      <c r="H44" s="355"/>
    </row>
    <row r="45" spans="1:8" x14ac:dyDescent="0.25">
      <c r="A45" s="358" t="s">
        <v>457</v>
      </c>
      <c r="B45" s="333">
        <v>0</v>
      </c>
      <c r="C45" s="333">
        <v>12252</v>
      </c>
      <c r="D45" s="334">
        <f t="shared" si="0"/>
        <v>12252</v>
      </c>
      <c r="E45" s="349">
        <f t="shared" si="1"/>
        <v>1</v>
      </c>
      <c r="G45" s="354"/>
      <c r="H45" s="355"/>
    </row>
    <row r="46" spans="1:8" x14ac:dyDescent="0.25">
      <c r="A46" s="358" t="s">
        <v>30</v>
      </c>
      <c r="B46" s="333">
        <v>34700</v>
      </c>
      <c r="C46" s="333">
        <v>34800</v>
      </c>
      <c r="D46" s="334">
        <f t="shared" si="0"/>
        <v>100</v>
      </c>
      <c r="E46" s="349">
        <f t="shared" si="1"/>
        <v>2.8735632183908046E-3</v>
      </c>
      <c r="G46" s="354"/>
      <c r="H46" s="355"/>
    </row>
    <row r="47" spans="1:8" x14ac:dyDescent="0.25">
      <c r="A47" s="358" t="s">
        <v>436</v>
      </c>
      <c r="B47" s="333">
        <v>200</v>
      </c>
      <c r="C47" s="333">
        <v>150</v>
      </c>
      <c r="D47" s="334">
        <f t="shared" si="0"/>
        <v>-50</v>
      </c>
      <c r="E47" s="349">
        <f t="shared" si="1"/>
        <v>-0.33333333333333331</v>
      </c>
      <c r="G47" s="354"/>
      <c r="H47" s="355"/>
    </row>
    <row r="48" spans="1:8" x14ac:dyDescent="0.25">
      <c r="A48" s="358" t="s">
        <v>399</v>
      </c>
      <c r="B48" s="333">
        <v>780</v>
      </c>
      <c r="C48" s="332">
        <v>1464</v>
      </c>
      <c r="D48" s="334">
        <f t="shared" si="0"/>
        <v>684</v>
      </c>
      <c r="E48" s="349">
        <f t="shared" si="1"/>
        <v>0.46721311475409838</v>
      </c>
    </row>
    <row r="49" spans="1:8" x14ac:dyDescent="0.25">
      <c r="A49" s="358" t="s">
        <v>458</v>
      </c>
      <c r="B49" s="333">
        <v>9781.19</v>
      </c>
      <c r="C49" s="333">
        <v>0</v>
      </c>
      <c r="D49" s="334">
        <f t="shared" si="0"/>
        <v>-9781.19</v>
      </c>
      <c r="E49" s="349"/>
      <c r="G49" s="354"/>
      <c r="H49" s="355"/>
    </row>
    <row r="50" spans="1:8" x14ac:dyDescent="0.25">
      <c r="A50" s="358" t="s">
        <v>437</v>
      </c>
      <c r="B50" s="333">
        <v>83611.520000000004</v>
      </c>
      <c r="C50" s="332">
        <v>86788.66</v>
      </c>
      <c r="D50" s="334">
        <f t="shared" si="0"/>
        <v>3177.1399999999994</v>
      </c>
      <c r="E50" s="349">
        <f t="shared" si="1"/>
        <v>3.6607778020769068E-2</v>
      </c>
    </row>
    <row r="51" spans="1:8" x14ac:dyDescent="0.25">
      <c r="A51" s="358" t="s">
        <v>459</v>
      </c>
      <c r="B51" s="333">
        <v>5400</v>
      </c>
      <c r="C51" s="333">
        <v>4410</v>
      </c>
      <c r="D51" s="334">
        <f t="shared" si="0"/>
        <v>-990</v>
      </c>
      <c r="E51" s="349">
        <f t="shared" si="1"/>
        <v>-0.22448979591836735</v>
      </c>
      <c r="G51" s="354"/>
      <c r="H51" s="355"/>
    </row>
    <row r="52" spans="1:8" x14ac:dyDescent="0.25">
      <c r="A52" s="358" t="s">
        <v>261</v>
      </c>
      <c r="B52" s="333">
        <v>152832</v>
      </c>
      <c r="C52" s="333">
        <v>183530</v>
      </c>
      <c r="D52" s="334">
        <f t="shared" si="0"/>
        <v>30698</v>
      </c>
      <c r="E52" s="349">
        <f t="shared" si="1"/>
        <v>0.16726420748651447</v>
      </c>
      <c r="G52" s="354"/>
      <c r="H52" s="355"/>
    </row>
    <row r="53" spans="1:8" x14ac:dyDescent="0.25">
      <c r="A53" s="358" t="s">
        <v>657</v>
      </c>
      <c r="B53" s="333">
        <v>0</v>
      </c>
      <c r="C53" s="333">
        <v>241516</v>
      </c>
      <c r="D53" s="334">
        <f t="shared" si="0"/>
        <v>241516</v>
      </c>
      <c r="E53" s="349">
        <f t="shared" si="1"/>
        <v>1</v>
      </c>
      <c r="G53" s="354"/>
      <c r="H53" s="355"/>
    </row>
    <row r="54" spans="1:8" x14ac:dyDescent="0.25">
      <c r="A54" s="358" t="s">
        <v>164</v>
      </c>
      <c r="B54" s="333">
        <v>21788</v>
      </c>
      <c r="C54" s="333">
        <v>19220</v>
      </c>
      <c r="D54" s="334">
        <f t="shared" si="0"/>
        <v>-2568</v>
      </c>
      <c r="E54" s="349">
        <f t="shared" si="1"/>
        <v>-0.1336108220603538</v>
      </c>
      <c r="G54" s="354"/>
      <c r="H54" s="355"/>
    </row>
    <row r="55" spans="1:8" x14ac:dyDescent="0.25">
      <c r="A55" s="358" t="s">
        <v>400</v>
      </c>
      <c r="B55" s="333">
        <v>87649</v>
      </c>
      <c r="C55" s="333">
        <v>83520</v>
      </c>
      <c r="D55" s="334">
        <f t="shared" si="0"/>
        <v>-4129</v>
      </c>
      <c r="E55" s="349">
        <f t="shared" si="1"/>
        <v>-4.9437260536398464E-2</v>
      </c>
      <c r="G55" s="354"/>
      <c r="H55" s="355"/>
    </row>
    <row r="56" spans="1:8" x14ac:dyDescent="0.25">
      <c r="A56" s="358" t="s">
        <v>658</v>
      </c>
      <c r="B56" s="333">
        <v>0</v>
      </c>
      <c r="C56" s="333">
        <v>1860</v>
      </c>
      <c r="D56" s="334">
        <f t="shared" si="0"/>
        <v>1860</v>
      </c>
      <c r="E56" s="349">
        <f t="shared" si="1"/>
        <v>1</v>
      </c>
      <c r="G56" s="354"/>
      <c r="H56" s="355"/>
    </row>
    <row r="57" spans="1:8" x14ac:dyDescent="0.25">
      <c r="A57" s="358" t="s">
        <v>165</v>
      </c>
      <c r="B57" s="333">
        <v>31487</v>
      </c>
      <c r="C57" s="333">
        <v>34125</v>
      </c>
      <c r="D57" s="334">
        <f t="shared" si="0"/>
        <v>2638</v>
      </c>
      <c r="E57" s="349">
        <f t="shared" si="1"/>
        <v>7.7304029304029298E-2</v>
      </c>
      <c r="G57" s="354"/>
      <c r="H57" s="355"/>
    </row>
    <row r="58" spans="1:8" x14ac:dyDescent="0.25">
      <c r="A58" s="358" t="s">
        <v>438</v>
      </c>
      <c r="B58" s="333">
        <v>0</v>
      </c>
      <c r="C58" s="333">
        <v>4366</v>
      </c>
      <c r="D58" s="334">
        <f t="shared" si="0"/>
        <v>4366</v>
      </c>
      <c r="E58" s="349">
        <f t="shared" si="1"/>
        <v>1</v>
      </c>
      <c r="G58" s="354"/>
      <c r="H58" s="355"/>
    </row>
    <row r="59" spans="1:8" x14ac:dyDescent="0.25">
      <c r="A59" s="358" t="s">
        <v>167</v>
      </c>
      <c r="B59" s="333">
        <v>27168.37</v>
      </c>
      <c r="C59" s="333">
        <v>27168.37</v>
      </c>
      <c r="D59" s="334">
        <f t="shared" si="0"/>
        <v>0</v>
      </c>
      <c r="E59" s="349">
        <f t="shared" si="1"/>
        <v>0</v>
      </c>
      <c r="G59" s="354"/>
      <c r="H59" s="355"/>
    </row>
    <row r="60" spans="1:8" x14ac:dyDescent="0.25">
      <c r="A60" s="358" t="s">
        <v>262</v>
      </c>
      <c r="B60" s="333">
        <v>163</v>
      </c>
      <c r="C60" s="333">
        <v>756</v>
      </c>
      <c r="D60" s="334">
        <f t="shared" si="0"/>
        <v>593</v>
      </c>
      <c r="E60" s="349">
        <f t="shared" si="1"/>
        <v>0.78439153439153442</v>
      </c>
      <c r="G60" s="354"/>
      <c r="H60" s="355"/>
    </row>
    <row r="61" spans="1:8" x14ac:dyDescent="0.25">
      <c r="A61" s="358" t="s">
        <v>263</v>
      </c>
      <c r="B61" s="333">
        <v>19852</v>
      </c>
      <c r="C61" s="333">
        <v>19255</v>
      </c>
      <c r="D61" s="334">
        <f t="shared" si="0"/>
        <v>-597</v>
      </c>
      <c r="E61" s="349">
        <f t="shared" si="1"/>
        <v>-3.1004933783432876E-2</v>
      </c>
      <c r="G61" s="354"/>
      <c r="H61" s="355"/>
    </row>
    <row r="62" spans="1:8" x14ac:dyDescent="0.25">
      <c r="A62" s="358" t="s">
        <v>446</v>
      </c>
      <c r="B62" s="333">
        <v>353476</v>
      </c>
      <c r="C62" s="333">
        <v>58685</v>
      </c>
      <c r="D62" s="334">
        <f t="shared" si="0"/>
        <v>-294791</v>
      </c>
      <c r="E62" s="349">
        <f t="shared" si="1"/>
        <v>-5.0232768169038087</v>
      </c>
      <c r="G62" s="354"/>
      <c r="H62" s="355"/>
    </row>
    <row r="63" spans="1:8" x14ac:dyDescent="0.25">
      <c r="A63" s="358" t="s">
        <v>264</v>
      </c>
      <c r="B63" s="333">
        <v>15300</v>
      </c>
      <c r="C63" s="333">
        <v>28970</v>
      </c>
      <c r="D63" s="334">
        <f t="shared" si="0"/>
        <v>13670</v>
      </c>
      <c r="E63" s="349">
        <f t="shared" si="1"/>
        <v>0.47186744908526063</v>
      </c>
      <c r="G63" s="354"/>
      <c r="H63" s="355"/>
    </row>
    <row r="64" spans="1:8" x14ac:dyDescent="0.25">
      <c r="A64" s="358" t="s">
        <v>265</v>
      </c>
      <c r="B64" s="333">
        <v>34222</v>
      </c>
      <c r="C64" s="333">
        <v>34222</v>
      </c>
      <c r="D64" s="334">
        <f t="shared" si="0"/>
        <v>0</v>
      </c>
      <c r="E64" s="349">
        <f t="shared" si="1"/>
        <v>0</v>
      </c>
      <c r="G64" s="354"/>
      <c r="H64" s="355"/>
    </row>
    <row r="65" spans="1:8" x14ac:dyDescent="0.25">
      <c r="A65" s="358" t="s">
        <v>661</v>
      </c>
      <c r="B65" s="333">
        <v>0</v>
      </c>
      <c r="C65" s="333">
        <v>296827</v>
      </c>
      <c r="D65" s="334">
        <f t="shared" si="0"/>
        <v>296827</v>
      </c>
      <c r="E65" s="349">
        <f t="shared" si="1"/>
        <v>1</v>
      </c>
      <c r="G65" s="354"/>
      <c r="H65" s="355"/>
    </row>
    <row r="66" spans="1:8" x14ac:dyDescent="0.25">
      <c r="A66" s="358" t="s">
        <v>266</v>
      </c>
      <c r="B66" s="333">
        <v>909138</v>
      </c>
      <c r="C66" s="333">
        <v>955020</v>
      </c>
      <c r="D66" s="334">
        <f t="shared" si="0"/>
        <v>45882</v>
      </c>
      <c r="E66" s="349">
        <f t="shared" si="1"/>
        <v>4.8042972922033043E-2</v>
      </c>
      <c r="G66" s="354"/>
      <c r="H66" s="355"/>
    </row>
    <row r="67" spans="1:8" x14ac:dyDescent="0.25">
      <c r="A67" s="358" t="s">
        <v>654</v>
      </c>
      <c r="B67" s="333">
        <v>3600</v>
      </c>
      <c r="C67" s="333">
        <v>0</v>
      </c>
      <c r="D67" s="334">
        <f t="shared" si="0"/>
        <v>-3600</v>
      </c>
      <c r="E67" s="349"/>
      <c r="G67" s="354"/>
      <c r="H67" s="355"/>
    </row>
    <row r="68" spans="1:8" x14ac:dyDescent="0.25">
      <c r="A68" s="358" t="s">
        <v>460</v>
      </c>
      <c r="B68" s="333">
        <v>4113</v>
      </c>
      <c r="C68" s="333">
        <v>10016</v>
      </c>
      <c r="D68" s="334">
        <f t="shared" si="0"/>
        <v>5903</v>
      </c>
      <c r="E68" s="349">
        <f t="shared" si="1"/>
        <v>0.58935702875399365</v>
      </c>
      <c r="G68" s="354"/>
      <c r="H68" s="355"/>
    </row>
    <row r="69" spans="1:8" x14ac:dyDescent="0.25">
      <c r="A69" s="358" t="s">
        <v>439</v>
      </c>
      <c r="B69" s="333">
        <v>9596</v>
      </c>
      <c r="C69" s="333">
        <v>8658</v>
      </c>
      <c r="D69" s="334">
        <f t="shared" si="0"/>
        <v>-938</v>
      </c>
      <c r="E69" s="349">
        <f t="shared" si="1"/>
        <v>-0.10833910833910834</v>
      </c>
      <c r="G69" s="354"/>
      <c r="H69" s="355"/>
    </row>
    <row r="70" spans="1:8" x14ac:dyDescent="0.25">
      <c r="A70" s="358" t="s">
        <v>655</v>
      </c>
      <c r="B70" s="333">
        <v>16992</v>
      </c>
      <c r="C70" s="333"/>
      <c r="D70" s="334">
        <f t="shared" si="0"/>
        <v>-16992</v>
      </c>
      <c r="E70" s="349"/>
      <c r="G70" s="257"/>
      <c r="H70" s="253"/>
    </row>
    <row r="71" spans="1:8" x14ac:dyDescent="0.25">
      <c r="A71" s="358" t="s">
        <v>267</v>
      </c>
      <c r="B71" s="333">
        <v>426854</v>
      </c>
      <c r="C71" s="333">
        <v>463240</v>
      </c>
      <c r="D71" s="334">
        <f t="shared" si="0"/>
        <v>36386</v>
      </c>
      <c r="E71" s="349">
        <f t="shared" si="1"/>
        <v>7.8546757620240049E-2</v>
      </c>
      <c r="G71" s="354"/>
      <c r="H71" s="355"/>
    </row>
    <row r="72" spans="1:8" x14ac:dyDescent="0.25">
      <c r="A72" s="238" t="s">
        <v>268</v>
      </c>
      <c r="B72" s="335">
        <f>SUM(B11:B71)</f>
        <v>5448433.04</v>
      </c>
      <c r="C72" s="335">
        <f>SUM(C11:C71)</f>
        <v>6412199.5900000008</v>
      </c>
      <c r="D72" s="359">
        <f t="shared" si="0"/>
        <v>963766.55000000075</v>
      </c>
      <c r="E72" s="357">
        <f t="shared" si="1"/>
        <v>0.15030201984090152</v>
      </c>
      <c r="G72" s="354"/>
      <c r="H72" s="355"/>
    </row>
    <row r="74" spans="1:8" x14ac:dyDescent="0.25">
      <c r="B74" s="314"/>
    </row>
    <row r="75" spans="1:8" x14ac:dyDescent="0.25">
      <c r="B75" s="316"/>
    </row>
  </sheetData>
  <mergeCells count="3">
    <mergeCell ref="A1:E1"/>
    <mergeCell ref="A3:E3"/>
    <mergeCell ref="A2:E2"/>
  </mergeCells>
  <pageMargins left="0.56999999999999995" right="0.17" top="0.39" bottom="0.55000000000000004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workbookViewId="0">
      <selection activeCell="C19" sqref="C19"/>
    </sheetView>
  </sheetViews>
  <sheetFormatPr defaultColWidth="9.109375" defaultRowHeight="14.4" x14ac:dyDescent="0.25"/>
  <cols>
    <col min="1" max="1" width="31.5546875" style="230" bestFit="1" customWidth="1"/>
    <col min="2" max="3" width="13.33203125" style="230" bestFit="1" customWidth="1"/>
    <col min="4" max="16384" width="9.109375" style="230"/>
  </cols>
  <sheetData>
    <row r="1" spans="1:4" ht="15.6" x14ac:dyDescent="0.25">
      <c r="A1" s="309"/>
      <c r="B1" s="706" t="s">
        <v>169</v>
      </c>
      <c r="C1" s="707"/>
    </row>
    <row r="2" spans="1:4" ht="15.6" x14ac:dyDescent="0.25">
      <c r="A2" s="310"/>
      <c r="B2" s="695" t="s">
        <v>648</v>
      </c>
      <c r="C2" s="703"/>
    </row>
    <row r="3" spans="1:4" ht="16.2" thickBot="1" x14ac:dyDescent="0.3">
      <c r="A3" s="311" t="s">
        <v>172</v>
      </c>
      <c r="B3" s="312" t="s">
        <v>660</v>
      </c>
      <c r="C3" s="313" t="s">
        <v>659</v>
      </c>
    </row>
    <row r="4" spans="1:4" x14ac:dyDescent="0.25">
      <c r="A4" s="248" t="s">
        <v>225</v>
      </c>
      <c r="B4" s="231"/>
      <c r="C4" s="231"/>
    </row>
    <row r="5" spans="1:4" x14ac:dyDescent="0.25">
      <c r="A5" s="249" t="s">
        <v>509</v>
      </c>
      <c r="B5" s="219">
        <v>15550</v>
      </c>
      <c r="C5" s="219">
        <v>17350</v>
      </c>
    </row>
    <row r="6" spans="1:4" x14ac:dyDescent="0.25">
      <c r="A6" s="249" t="s">
        <v>510</v>
      </c>
      <c r="B6" s="219">
        <v>46522.86</v>
      </c>
      <c r="C6" s="219">
        <v>21600</v>
      </c>
    </row>
    <row r="7" spans="1:4" x14ac:dyDescent="0.25">
      <c r="A7" s="249" t="s">
        <v>511</v>
      </c>
      <c r="B7" s="219">
        <v>94943</v>
      </c>
      <c r="C7" s="219">
        <v>105070</v>
      </c>
    </row>
    <row r="8" spans="1:4" x14ac:dyDescent="0.25">
      <c r="A8" s="249" t="s">
        <v>512</v>
      </c>
      <c r="B8" s="219">
        <v>16650</v>
      </c>
      <c r="C8" s="219">
        <v>168700</v>
      </c>
    </row>
    <row r="9" spans="1:4" x14ac:dyDescent="0.25">
      <c r="A9" s="249" t="s">
        <v>513</v>
      </c>
      <c r="B9" s="219">
        <v>64513.5</v>
      </c>
      <c r="C9" s="219">
        <v>13900</v>
      </c>
    </row>
    <row r="10" spans="1:4" x14ac:dyDescent="0.25">
      <c r="A10" s="249" t="s">
        <v>514</v>
      </c>
      <c r="B10" s="219">
        <v>38625</v>
      </c>
      <c r="C10" s="219">
        <v>130290</v>
      </c>
    </row>
    <row r="11" spans="1:4" x14ac:dyDescent="0.25">
      <c r="A11" s="249" t="s">
        <v>515</v>
      </c>
      <c r="B11" s="219">
        <v>2000</v>
      </c>
      <c r="C11" s="219">
        <v>10700</v>
      </c>
    </row>
    <row r="12" spans="1:4" x14ac:dyDescent="0.25">
      <c r="A12" s="249" t="s">
        <v>517</v>
      </c>
      <c r="B12" s="219">
        <v>12435</v>
      </c>
      <c r="C12" s="219">
        <v>14811</v>
      </c>
    </row>
    <row r="13" spans="1:4" x14ac:dyDescent="0.25">
      <c r="A13" s="249" t="s">
        <v>516</v>
      </c>
      <c r="B13" s="219">
        <v>59800</v>
      </c>
      <c r="C13" s="219">
        <v>5350</v>
      </c>
    </row>
    <row r="14" spans="1:4" x14ac:dyDescent="0.25">
      <c r="A14" s="249" t="s">
        <v>281</v>
      </c>
      <c r="B14" s="219">
        <v>23550</v>
      </c>
      <c r="C14" s="219">
        <v>43190</v>
      </c>
      <c r="D14" s="230" t="s">
        <v>282</v>
      </c>
    </row>
    <row r="15" spans="1:4" x14ac:dyDescent="0.25">
      <c r="A15" s="249" t="s">
        <v>320</v>
      </c>
      <c r="B15" s="219">
        <v>125450</v>
      </c>
      <c r="C15" s="219">
        <v>64400</v>
      </c>
    </row>
    <row r="16" spans="1:4" x14ac:dyDescent="0.25">
      <c r="A16" s="249" t="s">
        <v>321</v>
      </c>
      <c r="B16" s="219">
        <v>18434</v>
      </c>
      <c r="C16" s="219">
        <v>37697</v>
      </c>
    </row>
    <row r="17" spans="1:3" x14ac:dyDescent="0.25">
      <c r="A17" s="363" t="s">
        <v>652</v>
      </c>
      <c r="B17" s="219">
        <v>1000000</v>
      </c>
      <c r="C17" s="219">
        <v>1500000</v>
      </c>
    </row>
    <row r="18" spans="1:3" x14ac:dyDescent="0.25">
      <c r="A18" s="249" t="s">
        <v>299</v>
      </c>
      <c r="B18" s="232">
        <v>317585.5</v>
      </c>
      <c r="C18" s="219">
        <v>99613.6</v>
      </c>
    </row>
    <row r="19" spans="1:3" x14ac:dyDescent="0.25">
      <c r="A19" s="250" t="s">
        <v>268</v>
      </c>
      <c r="B19" s="233">
        <f>SUM(B5:B18)</f>
        <v>1836058.8599999999</v>
      </c>
      <c r="C19" s="233">
        <f>SUM(C5:C18)</f>
        <v>2232671.6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Audit Findings</vt:lpstr>
      <vt:lpstr>I&amp;E</vt:lpstr>
      <vt:lpstr>BS</vt:lpstr>
      <vt:lpstr>Trial Balance</vt:lpstr>
      <vt:lpstr>Member's OS</vt:lpstr>
      <vt:lpstr>Depreciation</vt:lpstr>
      <vt:lpstr>Income</vt:lpstr>
      <vt:lpstr>Expenditure</vt:lpstr>
      <vt:lpstr>Repairs &amp; maintenance</vt:lpstr>
      <vt:lpstr>Depr..</vt:lpstr>
      <vt:lpstr>FD Int.</vt:lpstr>
      <vt:lpstr>Salaries</vt:lpstr>
      <vt:lpstr>Alteration Deposit</vt:lpstr>
      <vt:lpstr>Other Schedules</vt:lpstr>
      <vt:lpstr>Stru Repairs Summary</vt:lpstr>
      <vt:lpstr>2013 AGM</vt:lpstr>
      <vt:lpstr>KSA</vt:lpstr>
      <vt:lpstr>Pending Work</vt:lpstr>
      <vt:lpstr>'Alteration Deposit'!Print_Area</vt:lpstr>
      <vt:lpstr>BS!Print_Area</vt:lpstr>
      <vt:lpstr>Depreciation!Print_Area</vt:lpstr>
      <vt:lpstr>Expenditure!Print_Area</vt:lpstr>
      <vt:lpstr>'FD Int.'!Print_Area</vt:lpstr>
      <vt:lpstr>'I&amp;E'!Print_Area</vt:lpstr>
      <vt:lpstr>Income!Print_Area</vt:lpstr>
      <vt:lpstr>'Member''s OS'!Print_Area</vt:lpstr>
      <vt:lpstr>'Repairs &amp; maintenance'!Print_Area</vt:lpstr>
      <vt:lpstr>Salaries!Print_Area</vt:lpstr>
      <vt:lpstr>'Stru Repairs Summary'!Print_Area</vt:lpstr>
      <vt:lpstr>'Trial Balance'!Print_Area</vt:lpstr>
      <vt:lpstr>BS!Print_Titles</vt:lpstr>
      <vt:lpstr>Depreciation!Print_Titles</vt:lpstr>
      <vt:lpstr>'I&amp;E'!Print_Titles</vt:lpstr>
      <vt:lpstr>'Member''s OS'!Print_Titles</vt:lpstr>
      <vt:lpstr>Salaries!Print_Titles</vt:lpstr>
      <vt:lpstr>'Trial Balance'!Print_Titles</vt:lpstr>
    </vt:vector>
  </TitlesOfParts>
  <Company>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vineeta jain</cp:lastModifiedBy>
  <cp:lastPrinted>2023-09-07T10:56:34Z</cp:lastPrinted>
  <dcterms:created xsi:type="dcterms:W3CDTF">2001-08-08T06:25:18Z</dcterms:created>
  <dcterms:modified xsi:type="dcterms:W3CDTF">2023-09-07T15:08:03Z</dcterms:modified>
</cp:coreProperties>
</file>